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пия ПК\Мои документы\2022\Б Ю Д Ж Е Т\Подготовка к бюджету 2023 г\Расчеты поселениям\"/>
    </mc:Choice>
  </mc:AlternateContent>
  <xr:revisionPtr revIDLastSave="0" documentId="13_ncr:1_{B4852988-0BB4-407A-BB48-EBC8886495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вариант" sheetId="4" r:id="rId1"/>
    <sheet name="Содержание дорог" sheetId="20" r:id="rId2"/>
    <sheet name="Доходы всего" sheetId="18" r:id="rId3"/>
    <sheet name="Доходы всего (2)" sheetId="21" r:id="rId4"/>
  </sheets>
  <definedNames>
    <definedName name="_xlnm.Print_Titles" localSheetId="0">'1 вариант'!$A:$A</definedName>
    <definedName name="_xlnm.Print_Titles" localSheetId="2">'Доходы всего'!#REF!</definedName>
    <definedName name="_xlnm.Print_Titles" localSheetId="1">'Содержание дорог'!$A:$A</definedName>
  </definedNames>
  <calcPr calcId="191029"/>
</workbook>
</file>

<file path=xl/calcChain.xml><?xml version="1.0" encoding="utf-8"?>
<calcChain xmlns="http://schemas.openxmlformats.org/spreadsheetml/2006/main">
  <c r="S6" i="4" l="1"/>
  <c r="Q6" i="4"/>
  <c r="L10" i="4"/>
  <c r="M9" i="21"/>
  <c r="L9" i="21"/>
  <c r="K9" i="21"/>
  <c r="F9" i="21"/>
  <c r="F7" i="21"/>
  <c r="F8" i="21"/>
  <c r="F10" i="21"/>
  <c r="F11" i="21"/>
  <c r="F6" i="21"/>
  <c r="E11" i="21"/>
  <c r="C9" i="4"/>
  <c r="J11" i="21"/>
  <c r="I11" i="18"/>
  <c r="I11" i="21"/>
  <c r="G11" i="21"/>
  <c r="D11" i="21"/>
  <c r="C11" i="21"/>
  <c r="H10" i="21"/>
  <c r="B9" i="21"/>
  <c r="H9" i="21" s="1"/>
  <c r="H8" i="21"/>
  <c r="H7" i="21"/>
  <c r="H6" i="21"/>
  <c r="H5" i="21"/>
  <c r="H11" i="18"/>
  <c r="G11" i="18"/>
  <c r="B9" i="18"/>
  <c r="F9" i="18" s="1"/>
  <c r="F6" i="18"/>
  <c r="F7" i="18"/>
  <c r="F8" i="18"/>
  <c r="F10" i="18"/>
  <c r="F5" i="18"/>
  <c r="C11" i="18"/>
  <c r="D11" i="18"/>
  <c r="E11" i="18"/>
  <c r="O10" i="20"/>
  <c r="H10" i="20"/>
  <c r="C10" i="20"/>
  <c r="B10" i="20"/>
  <c r="D9" i="20"/>
  <c r="D8" i="20"/>
  <c r="D7" i="20"/>
  <c r="D6" i="20"/>
  <c r="D5" i="20"/>
  <c r="M4" i="20"/>
  <c r="K4" i="20"/>
  <c r="D4" i="20"/>
  <c r="H29" i="4"/>
  <c r="O9" i="4"/>
  <c r="B11" i="21" l="1"/>
  <c r="H11" i="21"/>
  <c r="F11" i="18"/>
  <c r="B11" i="18"/>
  <c r="D10" i="20"/>
  <c r="E6" i="20" s="1"/>
  <c r="G6" i="20" s="1"/>
  <c r="E10" i="20"/>
  <c r="G10" i="20" s="1"/>
  <c r="L5" i="4"/>
  <c r="M5" i="4" s="1"/>
  <c r="E5" i="20" l="1"/>
  <c r="G5" i="20" s="1"/>
  <c r="I5" i="20" s="1"/>
  <c r="E7" i="20"/>
  <c r="G7" i="20" s="1"/>
  <c r="I7" i="20"/>
  <c r="K7" i="20" s="1"/>
  <c r="E4" i="20"/>
  <c r="G4" i="20" s="1"/>
  <c r="I6" i="20"/>
  <c r="K6" i="20" s="1"/>
  <c r="E9" i="20"/>
  <c r="G9" i="20" s="1"/>
  <c r="I9" i="20" s="1"/>
  <c r="K9" i="20" s="1"/>
  <c r="E8" i="20"/>
  <c r="G8" i="20" s="1"/>
  <c r="I8" i="20" s="1"/>
  <c r="K8" i="20" s="1"/>
  <c r="I10" i="20" l="1"/>
  <c r="K5" i="20"/>
  <c r="K10" i="20" s="1"/>
  <c r="B29" i="4" l="1"/>
  <c r="O29" i="4" l="1"/>
  <c r="C29" i="4" l="1"/>
  <c r="D29" i="4" s="1"/>
  <c r="D10" i="4"/>
  <c r="D9" i="4"/>
  <c r="D8" i="4"/>
  <c r="D7" i="4"/>
  <c r="D6" i="4"/>
  <c r="D5" i="4"/>
  <c r="E29" i="4" l="1"/>
  <c r="G29" i="4" s="1"/>
  <c r="E5" i="4"/>
  <c r="E7" i="4"/>
  <c r="E9" i="4"/>
  <c r="E10" i="4"/>
  <c r="E8" i="4"/>
  <c r="G8" i="4" s="1"/>
  <c r="E6" i="4"/>
  <c r="G9" i="4" l="1"/>
  <c r="I9" i="4" s="1"/>
  <c r="K9" i="4" s="1"/>
  <c r="G7" i="4"/>
  <c r="I7" i="4" s="1"/>
  <c r="G6" i="4"/>
  <c r="I6" i="4" s="1"/>
  <c r="K6" i="4" s="1"/>
  <c r="G10" i="4"/>
  <c r="I10" i="4" s="1"/>
  <c r="G5" i="4"/>
  <c r="K27" i="4" l="1"/>
  <c r="L27" i="4" l="1"/>
  <c r="K26" i="4"/>
  <c r="K15" i="4"/>
  <c r="L15" i="4" s="1"/>
  <c r="K17" i="4"/>
  <c r="K19" i="4"/>
  <c r="I8" i="4"/>
  <c r="K8" i="4" s="1"/>
  <c r="L6" i="4"/>
  <c r="K22" i="4"/>
  <c r="K7" i="4"/>
  <c r="Q7" i="4" s="1"/>
  <c r="K10" i="4"/>
  <c r="K25" i="4"/>
  <c r="K20" i="4"/>
  <c r="K13" i="4"/>
  <c r="K23" i="4"/>
  <c r="K18" i="4"/>
  <c r="K24" i="4"/>
  <c r="K16" i="4"/>
  <c r="L9" i="4"/>
  <c r="K21" i="4"/>
  <c r="K14" i="4"/>
  <c r="M6" i="4" l="1"/>
  <c r="L8" i="4"/>
  <c r="M8" i="4" s="1"/>
  <c r="L7" i="4"/>
  <c r="M7" i="4" s="1"/>
  <c r="Q10" i="4"/>
  <c r="M10" i="4"/>
  <c r="Q9" i="4"/>
  <c r="M9" i="4"/>
  <c r="L26" i="4"/>
  <c r="L17" i="4"/>
  <c r="K5" i="4"/>
  <c r="Q5" i="4" s="1"/>
  <c r="L21" i="4"/>
  <c r="L16" i="4"/>
  <c r="L23" i="4"/>
  <c r="L20" i="4"/>
  <c r="L22" i="4"/>
  <c r="L19" i="4"/>
  <c r="L13" i="4"/>
  <c r="Q8" i="4"/>
  <c r="L25" i="4"/>
  <c r="L14" i="4"/>
  <c r="L24" i="4"/>
  <c r="L18" i="4"/>
  <c r="I29" i="4"/>
  <c r="L29" i="4" l="1"/>
  <c r="M29" i="4" s="1"/>
  <c r="K29" i="4"/>
  <c r="N6" i="4" l="1"/>
  <c r="N10" i="4"/>
  <c r="N8" i="4"/>
  <c r="N7" i="4"/>
  <c r="N29" i="4"/>
  <c r="N9" i="4"/>
  <c r="P29" i="4"/>
  <c r="Q29" i="4" s="1"/>
  <c r="S9" i="4" l="1"/>
  <c r="S8" i="4"/>
  <c r="S10" i="4"/>
  <c r="S29" i="4" l="1"/>
  <c r="U6" i="4" s="1"/>
  <c r="U9" i="4" l="1"/>
  <c r="V9" i="4" s="1"/>
  <c r="U10" i="4"/>
  <c r="V10" i="4" s="1"/>
  <c r="U7" i="4"/>
  <c r="V7" i="4" s="1"/>
  <c r="U5" i="4"/>
  <c r="V5" i="4" s="1"/>
  <c r="V6" i="4"/>
  <c r="U8" i="4"/>
  <c r="V8" i="4" s="1"/>
  <c r="W9" i="4" l="1"/>
  <c r="W8" i="4"/>
  <c r="W7" i="4"/>
  <c r="W10" i="4"/>
  <c r="W6" i="4"/>
  <c r="V29" i="4"/>
  <c r="U29" i="4"/>
  <c r="W29" i="4" l="1"/>
  <c r="L6" i="20" l="1"/>
  <c r="M6" i="20" s="1"/>
  <c r="L7" i="20"/>
  <c r="M7" i="20" s="1"/>
  <c r="L8" i="20"/>
  <c r="M8" i="20" s="1"/>
  <c r="L9" i="20"/>
  <c r="M9" i="20" s="1"/>
  <c r="L5" i="20"/>
  <c r="M5" i="20" s="1"/>
  <c r="L10" i="20" l="1"/>
  <c r="M10" i="20" s="1"/>
  <c r="N5" i="20" s="1"/>
  <c r="N8" i="20"/>
  <c r="N9" i="20"/>
  <c r="N4" i="20"/>
  <c r="N7" i="20"/>
  <c r="N6" i="20"/>
</calcChain>
</file>

<file path=xl/sharedStrings.xml><?xml version="1.0" encoding="utf-8"?>
<sst xmlns="http://schemas.openxmlformats.org/spreadsheetml/2006/main" count="131" uniqueCount="78">
  <si>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</si>
  <si>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</si>
  <si>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</si>
  <si>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</si>
  <si>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</si>
  <si>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</si>
  <si>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</si>
  <si>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>Численность населения на 01.01.12 (тыс.чел.)</t>
  </si>
  <si>
    <t>Индекс налогового потенциала  (гр.4/гр.4общ)</t>
  </si>
  <si>
    <t xml:space="preserve"> У1                             Первый критерий выравнивания                      (1мин +  мах) / 2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</si>
  <si>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</si>
  <si>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</si>
  <si>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</si>
  <si>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</si>
  <si>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</si>
  <si>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</si>
  <si>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</si>
  <si>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</si>
  <si>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</si>
  <si>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</si>
  <si>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Прогноз налоговых и неналоговых доходов поселений в очередном финансовом году (тыс.руб.)</t>
  </si>
  <si>
    <t>Павловское городское посел</t>
  </si>
  <si>
    <t>Шаховское сельское посел</t>
  </si>
  <si>
    <t>Баклушинское сельское посел</t>
  </si>
  <si>
    <t>Шмалакское сельское посел</t>
  </si>
  <si>
    <t>Пичеурское  сельское посел</t>
  </si>
  <si>
    <t>Холстовское сельское посел</t>
  </si>
  <si>
    <t>Прогноз налоговых и неналоговых доходов поселения</t>
  </si>
  <si>
    <t>Степень сокращения отставания  П=0,7</t>
  </si>
  <si>
    <t>Итого доходов</t>
  </si>
  <si>
    <t>с</t>
  </si>
  <si>
    <t>d</t>
  </si>
  <si>
    <t>E</t>
  </si>
  <si>
    <t>F</t>
  </si>
  <si>
    <t>G</t>
  </si>
  <si>
    <t>H</t>
  </si>
  <si>
    <t>I</t>
  </si>
  <si>
    <t>J              K</t>
  </si>
  <si>
    <t>L</t>
  </si>
  <si>
    <t>M</t>
  </si>
  <si>
    <t>N</t>
  </si>
  <si>
    <t>O</t>
  </si>
  <si>
    <t>P</t>
  </si>
  <si>
    <t>Q</t>
  </si>
  <si>
    <t>R</t>
  </si>
  <si>
    <t>S                  T</t>
  </si>
  <si>
    <t>U</t>
  </si>
  <si>
    <t>V</t>
  </si>
  <si>
    <t>W</t>
  </si>
  <si>
    <t>B</t>
  </si>
  <si>
    <t>A</t>
  </si>
  <si>
    <t xml:space="preserve">Прогноз налоговых и неналоговых доходов поселения </t>
  </si>
  <si>
    <t xml:space="preserve">Дотация за счёт субвенции по расчёту и представлению дотаций поселениям </t>
  </si>
  <si>
    <t>Дотация на выравнивание бюджетной обеспеченности</t>
  </si>
  <si>
    <t>Степень сокращения отставания  П=0,9</t>
  </si>
  <si>
    <t>Начальник Управления финансов администрации МО "Павловский район"</t>
  </si>
  <si>
    <t>Штейнке А.К.</t>
  </si>
  <si>
    <t>Налоговый потенциал на душу населения после распределения 1 части (тыс.р.) гр.12/гр.2</t>
  </si>
  <si>
    <t>Содержание дорог</t>
  </si>
  <si>
    <t xml:space="preserve">Расчёт дотации на выравнивание бюджетной обеспеченности на 2023 год  </t>
  </si>
  <si>
    <t>Численность населения на 01.01.22 (тыс.чел.)</t>
  </si>
  <si>
    <t>Среднедушевой прогноз  поселений гр17 = гр11+гр15+гр.16)/гр.2</t>
  </si>
  <si>
    <r>
      <t xml:space="preserve">Второй критерий выравнивания </t>
    </r>
    <r>
      <rPr>
        <b/>
        <sz val="26"/>
        <color rgb="FFFF0000"/>
        <rFont val="Times New Roman"/>
        <family val="1"/>
        <charset val="204"/>
      </rPr>
      <t>(У2=1,0</t>
    </r>
  </si>
  <si>
    <t>Расчёт  общей суммы доходов  бюджетов поселений  на 2023 год</t>
  </si>
  <si>
    <t>Заявки поселений , на выделение средств из акцизов, на зимнее содержание дорог на 2023 г.</t>
  </si>
  <si>
    <t>тыс.руб.</t>
  </si>
  <si>
    <t>отклонение от дотации 2022 г.</t>
  </si>
  <si>
    <t>М/б трансферты от бюдж.поселений в муниц.бюдж. на содержание объектов культуры, по переданным полномочиям</t>
  </si>
  <si>
    <t>Предполагаемые изменения на 1 квартал 2023 г.</t>
  </si>
  <si>
    <t>Дотация на выравнивание бюджетной обеспеченности на 2022 год</t>
  </si>
  <si>
    <t>Дотация на выравнивание бюджетной обеспеченности на 2023 г.</t>
  </si>
  <si>
    <t xml:space="preserve">Отклонение дотации 2023 г к 2022 г </t>
  </si>
  <si>
    <t>Предполагаемые изменения по межбюдж.трансфертам  на 1 квартал 2023 г.</t>
  </si>
  <si>
    <t>Уточнен план по доходам в 2022 г.</t>
  </si>
  <si>
    <t xml:space="preserve">Остаток ср-в от 5954,1 т.р. </t>
  </si>
  <si>
    <t>Необх предусмотреть  из остатков 22 г из-за снижения дотации и увеличения меж.бюдж-х трансф.</t>
  </si>
  <si>
    <t>1750,0/ 1605</t>
  </si>
  <si>
    <t>Фонд зар.пл с начислен. на2023  год/ на 11 мес. (без увелич.зар.пл.)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</si>
</sst>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#,##0.000"/>
  </numFmts>
  <fonts count="28" x14ac:knownFonts="1">
    <font>
      <sz val="11"/>
      <color theme="1"/>
      <name val="Calibri"/>
      <family val="2"/>
      <charset val="204"/>
      <scheme val="minor"/>
    </font>
    <font>
      <b/>
      <sz val="24"/>
      <name val="Arial"/>
      <family val="2"/>
      <charset val="204"/>
    </font>
    <font>
      <sz val="24"/>
      <name val="Arial"/>
      <family val="2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name val="Times New Roman CYR"/>
      <family val="1"/>
      <charset val="204"/>
    </font>
    <font>
      <sz val="26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36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vertic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4" fillId="0" borderId="0" xfId="0" applyFont="1" applyAlignment="1">
      <alignment horizontal="right" vertical="justify" wrapText="1"/>
    </xf>
    <xf numFmtId="0" fontId="5" fillId="0" borderId="1" xfId="0" applyFont="1" applyBorder="1" applyAlignment="1">
      <alignment horizontal="left" vertical="justify" wrapText="1"/>
    </xf>
    <xf numFmtId="0" fontId="4" fillId="0" borderId="0" xfId="0" applyFont="1" applyAlignment="1">
      <alignment vertical="justify" wrapText="1"/>
    </xf>
    <xf numFmtId="165" fontId="4" fillId="0" borderId="0" xfId="0" applyNumberFormat="1" applyFont="1" applyAlignment="1">
      <alignment vertical="justify" wrapText="1"/>
    </xf>
    <xf numFmtId="0" fontId="4" fillId="0" borderId="0" xfId="0" applyFont="1"/>
    <xf numFmtId="165" fontId="4" fillId="0" borderId="0" xfId="0" applyNumberFormat="1" applyFont="1"/>
    <xf numFmtId="166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167" fontId="4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right" vertical="justify" wrapText="1"/>
    </xf>
    <xf numFmtId="0" fontId="1" fillId="0" borderId="0" xfId="0" applyFont="1"/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vertical="justify"/>
    </xf>
    <xf numFmtId="166" fontId="4" fillId="3" borderId="1" xfId="0" applyNumberFormat="1" applyFont="1" applyFill="1" applyBorder="1" applyAlignment="1">
      <alignment horizontal="right" wrapText="1"/>
    </xf>
    <xf numFmtId="166" fontId="4" fillId="0" borderId="0" xfId="0" applyNumberFormat="1" applyFont="1"/>
    <xf numFmtId="0" fontId="10" fillId="3" borderId="1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vertical="justify" wrapText="1"/>
    </xf>
    <xf numFmtId="0" fontId="4" fillId="3" borderId="1" xfId="0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justify" wrapText="1"/>
    </xf>
    <xf numFmtId="0" fontId="15" fillId="3" borderId="1" xfId="0" applyFont="1" applyFill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justify"/>
    </xf>
    <xf numFmtId="164" fontId="15" fillId="4" borderId="1" xfId="0" applyNumberFormat="1" applyFont="1" applyFill="1" applyBorder="1"/>
    <xf numFmtId="166" fontId="13" fillId="0" borderId="1" xfId="0" applyNumberFormat="1" applyFont="1" applyBorder="1" applyAlignment="1">
      <alignment horizontal="right" wrapText="1"/>
    </xf>
    <xf numFmtId="165" fontId="13" fillId="0" borderId="1" xfId="0" applyNumberFormat="1" applyFont="1" applyBorder="1" applyAlignment="1">
      <alignment horizontal="right" wrapText="1"/>
    </xf>
    <xf numFmtId="165" fontId="13" fillId="2" borderId="1" xfId="0" applyNumberFormat="1" applyFont="1" applyFill="1" applyBorder="1" applyAlignment="1">
      <alignment horizontal="right" wrapText="1"/>
    </xf>
    <xf numFmtId="166" fontId="13" fillId="3" borderId="1" xfId="0" applyNumberFormat="1" applyFont="1" applyFill="1" applyBorder="1" applyAlignment="1">
      <alignment horizontal="right" wrapText="1"/>
    </xf>
    <xf numFmtId="167" fontId="13" fillId="0" borderId="1" xfId="0" applyNumberFormat="1" applyFont="1" applyBorder="1" applyAlignment="1">
      <alignment horizontal="right" wrapText="1"/>
    </xf>
    <xf numFmtId="0" fontId="17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 wrapText="1"/>
    </xf>
    <xf numFmtId="166" fontId="16" fillId="3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4" fillId="0" borderId="0" xfId="0" applyNumberFormat="1" applyFont="1" applyAlignment="1">
      <alignment horizontal="right" vertical="justify" wrapText="1"/>
    </xf>
    <xf numFmtId="4" fontId="5" fillId="0" borderId="0" xfId="0" applyNumberFormat="1" applyFont="1" applyAlignment="1">
      <alignment horizontal="right" vertical="justify" wrapText="1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165" fontId="4" fillId="3" borderId="1" xfId="0" applyNumberFormat="1" applyFont="1" applyFill="1" applyBorder="1" applyAlignment="1">
      <alignment horizontal="right" wrapText="1"/>
    </xf>
    <xf numFmtId="165" fontId="5" fillId="3" borderId="1" xfId="0" applyNumberFormat="1" applyFont="1" applyFill="1" applyBorder="1" applyAlignment="1">
      <alignment horizontal="right" wrapText="1"/>
    </xf>
    <xf numFmtId="166" fontId="15" fillId="3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/>
    <xf numFmtId="166" fontId="2" fillId="0" borderId="0" xfId="0" applyNumberFormat="1" applyFont="1"/>
    <xf numFmtId="165" fontId="5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left" vertical="justify" wrapText="1"/>
    </xf>
    <xf numFmtId="0" fontId="18" fillId="0" borderId="1" xfId="0" applyFont="1" applyBorder="1" applyAlignment="1">
      <alignment horizontal="right" wrapText="1"/>
    </xf>
    <xf numFmtId="166" fontId="18" fillId="0" borderId="1" xfId="0" applyNumberFormat="1" applyFont="1" applyBorder="1" applyAlignment="1">
      <alignment horizontal="right" wrapText="1"/>
    </xf>
    <xf numFmtId="165" fontId="18" fillId="0" borderId="1" xfId="0" applyNumberFormat="1" applyFont="1" applyBorder="1" applyAlignment="1">
      <alignment horizontal="right" wrapText="1"/>
    </xf>
    <xf numFmtId="167" fontId="18" fillId="0" borderId="1" xfId="0" applyNumberFormat="1" applyFont="1" applyBorder="1" applyAlignment="1">
      <alignment horizontal="right" wrapText="1"/>
    </xf>
    <xf numFmtId="166" fontId="18" fillId="3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165" fontId="3" fillId="3" borderId="1" xfId="0" applyNumberFormat="1" applyFont="1" applyFill="1" applyBorder="1"/>
    <xf numFmtId="0" fontId="17" fillId="2" borderId="1" xfId="0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right" wrapText="1"/>
    </xf>
    <xf numFmtId="0" fontId="4" fillId="3" borderId="0" xfId="0" applyFont="1" applyFill="1" applyAlignment="1">
      <alignment vertical="justify" wrapText="1"/>
    </xf>
    <xf numFmtId="0" fontId="1" fillId="3" borderId="0" xfId="0" applyFont="1" applyFill="1"/>
    <xf numFmtId="0" fontId="2" fillId="3" borderId="0" xfId="0" applyFont="1" applyFill="1"/>
    <xf numFmtId="0" fontId="2" fillId="0" borderId="2" xfId="0" applyFont="1" applyBorder="1" applyAlignment="1">
      <alignment horizontal="center"/>
    </xf>
    <xf numFmtId="0" fontId="19" fillId="3" borderId="1" xfId="0" applyFont="1" applyFill="1" applyBorder="1"/>
    <xf numFmtId="165" fontId="20" fillId="3" borderId="1" xfId="0" applyNumberFormat="1" applyFont="1" applyFill="1" applyBorder="1"/>
    <xf numFmtId="166" fontId="20" fillId="3" borderId="1" xfId="0" applyNumberFormat="1" applyFont="1" applyFill="1" applyBorder="1" applyAlignment="1">
      <alignment wrapText="1"/>
    </xf>
    <xf numFmtId="164" fontId="20" fillId="0" borderId="1" xfId="0" applyNumberFormat="1" applyFont="1" applyBorder="1" applyAlignment="1">
      <alignment wrapText="1"/>
    </xf>
    <xf numFmtId="164" fontId="20" fillId="3" borderId="1" xfId="0" applyNumberFormat="1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5" fontId="21" fillId="0" borderId="1" xfId="0" applyNumberFormat="1" applyFont="1" applyBorder="1" applyAlignment="1">
      <alignment wrapText="1"/>
    </xf>
    <xf numFmtId="164" fontId="21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justify" wrapText="1"/>
    </xf>
    <xf numFmtId="0" fontId="4" fillId="0" borderId="1" xfId="0" applyFont="1" applyBorder="1" applyAlignment="1">
      <alignment horizontal="right" wrapText="1"/>
    </xf>
    <xf numFmtId="0" fontId="3" fillId="4" borderId="1" xfId="0" applyFont="1" applyFill="1" applyBorder="1" applyAlignment="1">
      <alignment horizontal="center" vertical="justify" wrapText="1"/>
    </xf>
    <xf numFmtId="0" fontId="4" fillId="4" borderId="1" xfId="0" applyFont="1" applyFill="1" applyBorder="1" applyAlignment="1">
      <alignment horizontal="right" wrapText="1"/>
    </xf>
    <xf numFmtId="0" fontId="21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justify" wrapText="1"/>
    </xf>
    <xf numFmtId="0" fontId="1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justify" wrapText="1"/>
    </xf>
    <xf numFmtId="0" fontId="10" fillId="0" borderId="1" xfId="0" applyFont="1" applyBorder="1" applyAlignment="1">
      <alignment horizontal="left" vertical="justify"/>
    </xf>
    <xf numFmtId="0" fontId="23" fillId="3" borderId="1" xfId="0" applyFont="1" applyFill="1" applyBorder="1"/>
    <xf numFmtId="165" fontId="24" fillId="3" borderId="1" xfId="0" applyNumberFormat="1" applyFont="1" applyFill="1" applyBorder="1"/>
    <xf numFmtId="166" fontId="24" fillId="5" borderId="1" xfId="0" applyNumberFormat="1" applyFont="1" applyFill="1" applyBorder="1" applyAlignment="1">
      <alignment wrapText="1"/>
    </xf>
    <xf numFmtId="166" fontId="24" fillId="2" borderId="1" xfId="0" applyNumberFormat="1" applyFont="1" applyFill="1" applyBorder="1" applyAlignment="1">
      <alignment wrapText="1"/>
    </xf>
    <xf numFmtId="166" fontId="24" fillId="3" borderId="1" xfId="0" applyNumberFormat="1" applyFont="1" applyFill="1" applyBorder="1" applyAlignment="1">
      <alignment wrapText="1"/>
    </xf>
    <xf numFmtId="165" fontId="25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horizontal="right" wrapText="1"/>
    </xf>
    <xf numFmtId="0" fontId="24" fillId="4" borderId="1" xfId="0" applyFont="1" applyFill="1" applyBorder="1" applyAlignment="1">
      <alignment horizontal="right" wrapText="1"/>
    </xf>
    <xf numFmtId="164" fontId="24" fillId="5" borderId="1" xfId="0" applyNumberFormat="1" applyFont="1" applyFill="1" applyBorder="1" applyAlignment="1">
      <alignment wrapText="1"/>
    </xf>
    <xf numFmtId="164" fontId="24" fillId="2" borderId="1" xfId="0" applyNumberFormat="1" applyFont="1" applyFill="1" applyBorder="1" applyAlignment="1">
      <alignment wrapText="1"/>
    </xf>
    <xf numFmtId="164" fontId="24" fillId="3" borderId="1" xfId="0" applyNumberFormat="1" applyFont="1" applyFill="1" applyBorder="1" applyAlignment="1">
      <alignment wrapText="1"/>
    </xf>
    <xf numFmtId="0" fontId="26" fillId="3" borderId="1" xfId="0" applyFont="1" applyFill="1" applyBorder="1"/>
    <xf numFmtId="165" fontId="25" fillId="3" borderId="1" xfId="0" applyNumberFormat="1" applyFont="1" applyFill="1" applyBorder="1"/>
    <xf numFmtId="164" fontId="25" fillId="5" borderId="1" xfId="0" applyNumberFormat="1" applyFont="1" applyFill="1" applyBorder="1" applyAlignment="1">
      <alignment wrapText="1"/>
    </xf>
    <xf numFmtId="164" fontId="25" fillId="2" borderId="1" xfId="0" applyNumberFormat="1" applyFont="1" applyFill="1" applyBorder="1" applyAlignment="1">
      <alignment wrapText="1"/>
    </xf>
    <xf numFmtId="164" fontId="25" fillId="3" borderId="1" xfId="0" applyNumberFormat="1" applyFont="1" applyFill="1" applyBorder="1" applyAlignment="1">
      <alignment wrapText="1"/>
    </xf>
    <xf numFmtId="0" fontId="25" fillId="0" borderId="1" xfId="0" applyFont="1" applyBorder="1" applyAlignment="1">
      <alignment horizontal="right" wrapText="1"/>
    </xf>
    <xf numFmtId="0" fontId="25" fillId="4" borderId="1" xfId="0" applyFont="1" applyFill="1" applyBorder="1" applyAlignment="1">
      <alignment horizontal="right" wrapText="1"/>
    </xf>
    <xf numFmtId="0" fontId="25" fillId="0" borderId="1" xfId="0" applyFont="1" applyBorder="1" applyAlignment="1">
      <alignment wrapText="1"/>
    </xf>
    <xf numFmtId="164" fontId="25" fillId="0" borderId="1" xfId="0" applyNumberFormat="1" applyFont="1" applyBorder="1" applyAlignment="1">
      <alignment wrapText="1"/>
    </xf>
    <xf numFmtId="0" fontId="25" fillId="4" borderId="1" xfId="0" applyFont="1" applyFill="1" applyBorder="1" applyAlignment="1">
      <alignment wrapText="1"/>
    </xf>
    <xf numFmtId="0" fontId="24" fillId="0" borderId="1" xfId="0" applyFont="1" applyBorder="1" applyAlignment="1">
      <alignment horizontal="right" vertical="justify" wrapText="1"/>
    </xf>
    <xf numFmtId="0" fontId="25" fillId="0" borderId="1" xfId="0" applyFont="1" applyBorder="1" applyAlignment="1">
      <alignment horizontal="right" vertical="justify" wrapText="1"/>
    </xf>
    <xf numFmtId="0" fontId="2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justify" wrapText="1"/>
    </xf>
    <xf numFmtId="0" fontId="27" fillId="0" borderId="1" xfId="0" applyFont="1" applyBorder="1" applyAlignment="1">
      <alignment horizontal="right" wrapText="1"/>
    </xf>
    <xf numFmtId="0" fontId="27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zoomScale="50" zoomScaleNormal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32" sqref="T32"/>
    </sheetView>
  </sheetViews>
  <sheetFormatPr defaultColWidth="19.5703125" defaultRowHeight="30" x14ac:dyDescent="0.4"/>
  <cols>
    <col min="1" max="1" width="34" style="1" customWidth="1"/>
    <col min="2" max="2" width="19.85546875" style="1" customWidth="1"/>
    <col min="3" max="3" width="23.42578125" style="1" customWidth="1"/>
    <col min="4" max="4" width="19.28515625" style="1" customWidth="1"/>
    <col min="5" max="5" width="19.5703125" style="1" customWidth="1"/>
    <col min="6" max="6" width="20.85546875" style="1" customWidth="1"/>
    <col min="7" max="7" width="21" style="1" customWidth="1"/>
    <col min="8" max="8" width="15.28515625" style="1" customWidth="1"/>
    <col min="9" max="9" width="18.5703125" style="1" customWidth="1"/>
    <col min="10" max="10" width="13" style="1" customWidth="1"/>
    <col min="11" max="11" width="18.42578125" style="1" customWidth="1"/>
    <col min="12" max="12" width="20" style="1" customWidth="1"/>
    <col min="13" max="13" width="17" style="1" customWidth="1"/>
    <col min="14" max="14" width="19.85546875" style="1" customWidth="1"/>
    <col min="15" max="15" width="17.42578125" style="1" customWidth="1"/>
    <col min="16" max="16" width="22" style="1" customWidth="1"/>
    <col min="17" max="17" width="23.5703125" style="1" customWidth="1"/>
    <col min="18" max="18" width="16.5703125" style="1" customWidth="1"/>
    <col min="19" max="19" width="20.85546875" style="1" customWidth="1"/>
    <col min="20" max="20" width="21" style="1" customWidth="1"/>
    <col min="21" max="21" width="19.5703125" style="1" customWidth="1"/>
    <col min="22" max="22" width="20.42578125" style="1" customWidth="1"/>
    <col min="23" max="23" width="22.140625" style="1" customWidth="1"/>
    <col min="24" max="16384" width="19.5703125" style="1"/>
  </cols>
  <sheetData>
    <row r="1" spans="1:23" ht="47.25" customHeight="1" x14ac:dyDescent="0.4">
      <c r="B1" s="22" t="s">
        <v>59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2" customFormat="1" ht="0.75" hidden="1" customHeight="1" x14ac:dyDescent="0.6">
      <c r="A2" s="51" t="s">
        <v>50</v>
      </c>
      <c r="B2" s="51" t="s">
        <v>49</v>
      </c>
      <c r="C2" s="51" t="s">
        <v>30</v>
      </c>
      <c r="D2" s="51" t="s">
        <v>31</v>
      </c>
      <c r="E2" s="51" t="s">
        <v>32</v>
      </c>
      <c r="F2" s="51" t="s">
        <v>33</v>
      </c>
      <c r="G2" s="51" t="s">
        <v>34</v>
      </c>
      <c r="H2" s="51" t="s">
        <v>35</v>
      </c>
      <c r="I2" s="51" t="s">
        <v>36</v>
      </c>
      <c r="J2" s="132" t="s">
        <v>37</v>
      </c>
      <c r="K2" s="133"/>
      <c r="L2" s="51" t="s">
        <v>38</v>
      </c>
      <c r="M2" s="51" t="s">
        <v>39</v>
      </c>
      <c r="N2" s="51" t="s">
        <v>40</v>
      </c>
      <c r="O2" s="51" t="s">
        <v>41</v>
      </c>
      <c r="P2" s="51" t="s">
        <v>42</v>
      </c>
      <c r="Q2" s="51" t="s">
        <v>43</v>
      </c>
      <c r="R2" s="52" t="s">
        <v>44</v>
      </c>
      <c r="S2" s="131" t="s">
        <v>45</v>
      </c>
      <c r="T2" s="131"/>
      <c r="U2" s="52" t="s">
        <v>46</v>
      </c>
      <c r="V2" s="52" t="s">
        <v>47</v>
      </c>
      <c r="W2" s="51" t="s">
        <v>48</v>
      </c>
    </row>
    <row r="3" spans="1:23" s="4" customFormat="1" ht="409.5" customHeight="1" x14ac:dyDescent="0.25">
      <c r="A3" s="3" t="s">
        <v>0</v>
      </c>
      <c r="B3" s="3" t="s">
        <v>60</v>
      </c>
      <c r="C3" s="3" t="s">
        <v>20</v>
      </c>
      <c r="D3" s="3" t="s">
        <v>1</v>
      </c>
      <c r="E3" s="3" t="s">
        <v>8</v>
      </c>
      <c r="F3" s="3" t="s">
        <v>2</v>
      </c>
      <c r="G3" s="3" t="s">
        <v>3</v>
      </c>
      <c r="H3" s="3" t="s">
        <v>9</v>
      </c>
      <c r="I3" s="3" t="s">
        <v>4</v>
      </c>
      <c r="J3" s="3" t="s">
        <v>54</v>
      </c>
      <c r="K3" s="3" t="s">
        <v>5</v>
      </c>
      <c r="L3" s="3" t="s">
        <v>10</v>
      </c>
      <c r="M3" s="3" t="s">
        <v>57</v>
      </c>
      <c r="N3" s="3" t="s">
        <v>12</v>
      </c>
      <c r="O3" s="3" t="s">
        <v>51</v>
      </c>
      <c r="P3" s="19" t="s">
        <v>13</v>
      </c>
      <c r="Q3" s="3" t="s">
        <v>61</v>
      </c>
      <c r="R3" s="29" t="s">
        <v>62</v>
      </c>
      <c r="S3" s="29" t="s">
        <v>14</v>
      </c>
      <c r="T3" s="29" t="s">
        <v>15</v>
      </c>
      <c r="U3" s="29" t="s">
        <v>16</v>
      </c>
      <c r="V3" s="29" t="s">
        <v>17</v>
      </c>
      <c r="W3" s="3" t="s">
        <v>18</v>
      </c>
    </row>
    <row r="4" spans="1:23" s="6" customFormat="1" ht="30.7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5">
        <v>23</v>
      </c>
    </row>
    <row r="5" spans="1:23" s="7" customFormat="1" ht="77.25" customHeight="1" x14ac:dyDescent="0.45">
      <c r="A5" s="24" t="s">
        <v>21</v>
      </c>
      <c r="B5" s="72">
        <v>6.2919999999999998</v>
      </c>
      <c r="C5" s="48">
        <v>23162.06</v>
      </c>
      <c r="D5" s="25">
        <f t="shared" ref="D5:D10" si="0">C5/B5</f>
        <v>3681.1919898283536</v>
      </c>
      <c r="E5" s="59">
        <f t="shared" ref="E5:E10" si="1">D5/D$29</f>
        <v>1.5533732503665807</v>
      </c>
      <c r="F5" s="59">
        <v>0.38100000000000001</v>
      </c>
      <c r="G5" s="59">
        <f t="shared" ref="G5:G10" si="2">E5/F5</f>
        <v>4.0770951453191095</v>
      </c>
      <c r="H5" s="74">
        <v>4.077</v>
      </c>
      <c r="I5" s="25"/>
      <c r="J5" s="33">
        <v>0.9</v>
      </c>
      <c r="K5" s="13">
        <f t="shared" ref="K5:K27" si="3">I5*J5</f>
        <v>0</v>
      </c>
      <c r="L5" s="25">
        <f>2473.53+C5</f>
        <v>25635.59</v>
      </c>
      <c r="M5" s="13">
        <f>L5/B5/1000</f>
        <v>4.074315003178639</v>
      </c>
      <c r="N5" s="15">
        <v>0</v>
      </c>
      <c r="O5" s="48">
        <v>23162.06</v>
      </c>
      <c r="P5" s="62">
        <v>2684.991</v>
      </c>
      <c r="Q5" s="17">
        <f>(O5+P5+ K5)/B5</f>
        <v>4107.9229179910999</v>
      </c>
      <c r="R5" s="31" t="s">
        <v>6</v>
      </c>
      <c r="S5" s="25"/>
      <c r="T5" s="32" t="s">
        <v>6</v>
      </c>
      <c r="U5" s="25">
        <f t="shared" ref="U5:U8" si="4">(T$29-K$29)*S5/S$29</f>
        <v>0</v>
      </c>
      <c r="V5" s="25">
        <f t="shared" ref="V5:V10" si="5">K5+U5</f>
        <v>0</v>
      </c>
      <c r="W5" s="14"/>
    </row>
    <row r="6" spans="1:23" s="7" customFormat="1" ht="68.25" customHeight="1" x14ac:dyDescent="0.45">
      <c r="A6" s="24" t="s">
        <v>22</v>
      </c>
      <c r="B6" s="72">
        <v>1.3140000000000001</v>
      </c>
      <c r="C6" s="48">
        <v>844.4</v>
      </c>
      <c r="D6" s="13">
        <f t="shared" si="0"/>
        <v>642.61796042617959</v>
      </c>
      <c r="E6" s="59">
        <f t="shared" si="1"/>
        <v>0.2711691084543793</v>
      </c>
      <c r="F6" s="59">
        <v>0.94199999999999995</v>
      </c>
      <c r="G6" s="59">
        <f t="shared" si="2"/>
        <v>0.28786529559912877</v>
      </c>
      <c r="H6" s="74">
        <v>0.28799999999999998</v>
      </c>
      <c r="I6" s="25">
        <f>$D$29*($H$29-G6)*F6*B6-100</f>
        <v>5457.5630993183795</v>
      </c>
      <c r="J6" s="33">
        <v>0.9</v>
      </c>
      <c r="K6" s="13">
        <f>I6*J6</f>
        <v>4911.8067893865418</v>
      </c>
      <c r="L6" s="13">
        <f>C6+K6+P6</f>
        <v>6316.9307893865416</v>
      </c>
      <c r="M6" s="13">
        <f t="shared" ref="M6:M29" si="6">L6/B6/1000</f>
        <v>4.8074054713748406</v>
      </c>
      <c r="N6" s="15">
        <f>(G6*K6/(F6*B6*$M$29))/1000</f>
        <v>0.27684553682638335</v>
      </c>
      <c r="O6" s="48">
        <v>844.4</v>
      </c>
      <c r="P6" s="72">
        <v>560.72400000000005</v>
      </c>
      <c r="Q6" s="17">
        <f>(O6+P6+ K6)/B6</f>
        <v>4807.405471374841</v>
      </c>
      <c r="R6" s="31" t="s">
        <v>6</v>
      </c>
      <c r="S6" s="25">
        <f>Q$29*(R$29-N6)*F6*B6</f>
        <v>2503.2127903945766</v>
      </c>
      <c r="T6" s="32" t="s">
        <v>6</v>
      </c>
      <c r="U6" s="25">
        <f>(T$29-K$29)*S6/S$29</f>
        <v>-1513.673774655776</v>
      </c>
      <c r="V6" s="25">
        <f t="shared" si="5"/>
        <v>3398.1330147307658</v>
      </c>
      <c r="W6" s="14">
        <f t="shared" ref="W6:W10" si="7">G6+V6/(B6*F6*Q$29)</f>
        <v>1.2695537343486047</v>
      </c>
    </row>
    <row r="7" spans="1:23" s="7" customFormat="1" ht="73.5" customHeight="1" x14ac:dyDescent="0.45">
      <c r="A7" s="24" t="s">
        <v>23</v>
      </c>
      <c r="B7" s="72">
        <v>1.083</v>
      </c>
      <c r="C7" s="48">
        <v>897.5</v>
      </c>
      <c r="D7" s="13">
        <f t="shared" si="0"/>
        <v>828.71652816251162</v>
      </c>
      <c r="E7" s="59">
        <f t="shared" si="1"/>
        <v>0.34969816584989716</v>
      </c>
      <c r="F7" s="59">
        <v>0.83799999999999997</v>
      </c>
      <c r="G7" s="59">
        <f t="shared" si="2"/>
        <v>0.41730091390202528</v>
      </c>
      <c r="H7" s="74"/>
      <c r="I7" s="25">
        <f>$D$29*($H$29-G7)*F7*B7 -300</f>
        <v>3496.4598854075111</v>
      </c>
      <c r="J7" s="33">
        <v>0.9</v>
      </c>
      <c r="K7" s="13">
        <f t="shared" si="3"/>
        <v>3146.8138968667599</v>
      </c>
      <c r="L7" s="13">
        <f>C7+K7+P7</f>
        <v>4506.4638968667596</v>
      </c>
      <c r="M7" s="13">
        <f t="shared" si="6"/>
        <v>4.1610931642352353</v>
      </c>
      <c r="N7" s="15">
        <f>(G7*K7/(F7*B7*$M$29))/1000</f>
        <v>0.35067203116907386</v>
      </c>
      <c r="O7" s="48">
        <v>897.5</v>
      </c>
      <c r="P7" s="72">
        <v>462.15</v>
      </c>
      <c r="Q7" s="17">
        <f>(O7+P7+ K7)/B7</f>
        <v>4161.0931642352361</v>
      </c>
      <c r="R7" s="31" t="s">
        <v>6</v>
      </c>
      <c r="S7" s="25">
        <v>2055</v>
      </c>
      <c r="T7" s="32" t="s">
        <v>6</v>
      </c>
      <c r="U7" s="25">
        <f t="shared" si="4"/>
        <v>-1242.6429022948953</v>
      </c>
      <c r="V7" s="25">
        <f t="shared" si="5"/>
        <v>1904.1709945718646</v>
      </c>
      <c r="W7" s="14">
        <f t="shared" si="7"/>
        <v>1.1675630685018241</v>
      </c>
    </row>
    <row r="8" spans="1:23" s="7" customFormat="1" ht="66.75" customHeight="1" x14ac:dyDescent="0.45">
      <c r="A8" s="24" t="s">
        <v>24</v>
      </c>
      <c r="B8" s="72">
        <v>0.91200000000000003</v>
      </c>
      <c r="C8" s="48">
        <v>695.5</v>
      </c>
      <c r="D8" s="13">
        <f t="shared" si="0"/>
        <v>762.60964912280701</v>
      </c>
      <c r="E8" s="59">
        <f t="shared" si="1"/>
        <v>0.32180267497377896</v>
      </c>
      <c r="F8" s="59">
        <v>0.81399999999999995</v>
      </c>
      <c r="G8" s="59">
        <f>E8/F8</f>
        <v>0.39533498154026903</v>
      </c>
      <c r="H8" s="74"/>
      <c r="I8" s="25">
        <f t="shared" ref="I8" si="8">$D$29*($H$29-G8)*F8*B8</f>
        <v>3144.1014035640887</v>
      </c>
      <c r="J8" s="33">
        <v>0.9</v>
      </c>
      <c r="K8" s="13">
        <f t="shared" si="3"/>
        <v>2829.6912632076801</v>
      </c>
      <c r="L8" s="13">
        <f>C8+K8+P8</f>
        <v>3914.3702632076802</v>
      </c>
      <c r="M8" s="13">
        <f t="shared" si="6"/>
        <v>4.2920726570259653</v>
      </c>
      <c r="N8" s="15">
        <f>(G8*K8/(F8*B8*$M$29))/1000</f>
        <v>0.3652063031849595</v>
      </c>
      <c r="O8" s="48">
        <v>695.5</v>
      </c>
      <c r="P8" s="72">
        <v>389.17899999999997</v>
      </c>
      <c r="Q8" s="17">
        <f t="shared" ref="Q8:Q10" si="9">(O8+P8+ K8)/B8</f>
        <v>4292.0726570259649</v>
      </c>
      <c r="R8" s="31" t="s">
        <v>6</v>
      </c>
      <c r="S8" s="25">
        <f t="shared" ref="S8:S10" si="10">Q$29*(R$29-N8)*F8*B8</f>
        <v>1317.8691122312359</v>
      </c>
      <c r="T8" s="32" t="s">
        <v>6</v>
      </c>
      <c r="U8" s="25">
        <f t="shared" si="4"/>
        <v>-796.90544937606808</v>
      </c>
      <c r="V8" s="25">
        <f t="shared" si="5"/>
        <v>2032.7858138316119</v>
      </c>
      <c r="W8" s="14">
        <f t="shared" si="7"/>
        <v>1.3744911129186055</v>
      </c>
    </row>
    <row r="9" spans="1:23" s="7" customFormat="1" ht="69" customHeight="1" x14ac:dyDescent="0.45">
      <c r="A9" s="24" t="s">
        <v>25</v>
      </c>
      <c r="B9" s="72">
        <v>0.98099999999999998</v>
      </c>
      <c r="C9" s="73">
        <f>638.1+6000-6000+1000</f>
        <v>1638.1000000000004</v>
      </c>
      <c r="D9" s="13">
        <f t="shared" si="0"/>
        <v>1669.8267074413868</v>
      </c>
      <c r="E9" s="59">
        <f t="shared" si="1"/>
        <v>0.70462615024002018</v>
      </c>
      <c r="F9" s="59">
        <v>0.73899999999999999</v>
      </c>
      <c r="G9" s="59">
        <f t="shared" si="2"/>
        <v>0.95348599491207064</v>
      </c>
      <c r="H9" s="74"/>
      <c r="I9" s="25">
        <f>$D$29*($H$29-G9)*F9*B9-100</f>
        <v>2011.4603176947526</v>
      </c>
      <c r="J9" s="33">
        <v>0.9</v>
      </c>
      <c r="K9" s="13">
        <f>I9*J9-300</f>
        <v>1510.3142859252773</v>
      </c>
      <c r="L9" s="13">
        <f>C9+K9+P9</f>
        <v>3567.037285925278</v>
      </c>
      <c r="M9" s="13">
        <f t="shared" si="6"/>
        <v>3.6361236349900894</v>
      </c>
      <c r="N9" s="15">
        <f>(G9*K9/(F9*B9*$M$29))/1000</f>
        <v>0.48141698854566511</v>
      </c>
      <c r="O9" s="73">
        <f>638.1+6000-6000+1000</f>
        <v>1638.1000000000004</v>
      </c>
      <c r="P9" s="72">
        <v>418.62299999999999</v>
      </c>
      <c r="Q9" s="17">
        <f t="shared" si="9"/>
        <v>3636.1236349900892</v>
      </c>
      <c r="R9" s="31" t="s">
        <v>6</v>
      </c>
      <c r="S9" s="25">
        <f t="shared" si="10"/>
        <v>1051.3617225949517</v>
      </c>
      <c r="T9" s="32" t="s">
        <v>6</v>
      </c>
      <c r="U9" s="25">
        <f>(T$29-K$29)*S9/S$29-29</f>
        <v>-664.75045368717826</v>
      </c>
      <c r="V9" s="25">
        <f t="shared" si="5"/>
        <v>845.56383223809905</v>
      </c>
      <c r="W9" s="14">
        <f t="shared" si="7"/>
        <v>1.3705594236618028</v>
      </c>
    </row>
    <row r="10" spans="1:23" s="7" customFormat="1" ht="76.5" customHeight="1" x14ac:dyDescent="0.45">
      <c r="A10" s="24" t="s">
        <v>26</v>
      </c>
      <c r="B10" s="72">
        <v>1.4810000000000001</v>
      </c>
      <c r="C10" s="48">
        <v>1349.4</v>
      </c>
      <c r="D10" s="13">
        <f t="shared" si="0"/>
        <v>911.14112086428088</v>
      </c>
      <c r="E10" s="59">
        <f t="shared" si="1"/>
        <v>0.38447933396855838</v>
      </c>
      <c r="F10" s="59">
        <v>0.748</v>
      </c>
      <c r="G10" s="59">
        <f t="shared" si="2"/>
        <v>0.51400980477079994</v>
      </c>
      <c r="H10" s="59"/>
      <c r="I10" s="25">
        <f>$D$29*($H$29-G10)*F10*B10-100</f>
        <v>4280.1901219495658</v>
      </c>
      <c r="J10" s="33">
        <v>0.9</v>
      </c>
      <c r="K10" s="13">
        <f t="shared" si="3"/>
        <v>3852.1711097546095</v>
      </c>
      <c r="L10" s="13">
        <f>C10+K10+P10</f>
        <v>5833.5591097546103</v>
      </c>
      <c r="M10" s="13">
        <f t="shared" si="6"/>
        <v>3.9389325521638145</v>
      </c>
      <c r="N10" s="15">
        <f>(G10*K10/(F10*B10*$M$29))/1000</f>
        <v>0.43318511551289107</v>
      </c>
      <c r="O10" s="48">
        <v>1349.4</v>
      </c>
      <c r="P10" s="72">
        <v>631.98800000000006</v>
      </c>
      <c r="Q10" s="17">
        <f t="shared" si="9"/>
        <v>3938.9325521638143</v>
      </c>
      <c r="R10" s="31" t="s">
        <v>6</v>
      </c>
      <c r="S10" s="25">
        <f t="shared" si="10"/>
        <v>1755.9750176869852</v>
      </c>
      <c r="T10" s="32" t="s">
        <v>6</v>
      </c>
      <c r="U10" s="25">
        <f>(T$29-K$29)*S10/S$29+29</f>
        <v>-1032.8247651269514</v>
      </c>
      <c r="V10" s="25">
        <f t="shared" si="5"/>
        <v>2819.3463446276583</v>
      </c>
      <c r="W10" s="14">
        <f t="shared" si="7"/>
        <v>1.4240725656660362</v>
      </c>
    </row>
    <row r="11" spans="1:23" s="7" customFormat="1" ht="39.75" customHeight="1" x14ac:dyDescent="0.4">
      <c r="A11" s="34"/>
      <c r="B11" s="49"/>
      <c r="C11" s="50"/>
      <c r="D11" s="13"/>
      <c r="E11" s="59"/>
      <c r="F11" s="59"/>
      <c r="G11" s="59"/>
      <c r="H11" s="59"/>
      <c r="I11" s="25"/>
      <c r="J11" s="33"/>
      <c r="K11" s="13"/>
      <c r="L11" s="13"/>
      <c r="M11" s="13"/>
      <c r="N11" s="15"/>
      <c r="O11" s="33"/>
      <c r="P11" s="33"/>
      <c r="Q11" s="17"/>
      <c r="R11" s="31"/>
      <c r="S11" s="25"/>
      <c r="T11" s="32"/>
      <c r="U11" s="25"/>
      <c r="V11" s="25"/>
      <c r="W11" s="14"/>
    </row>
    <row r="12" spans="1:23" s="7" customFormat="1" ht="29.25" customHeight="1" x14ac:dyDescent="0.4">
      <c r="A12" s="34"/>
      <c r="B12" s="49"/>
      <c r="C12" s="50"/>
      <c r="D12" s="13"/>
      <c r="E12" s="59"/>
      <c r="F12" s="59"/>
      <c r="G12" s="59"/>
      <c r="H12" s="59"/>
      <c r="I12" s="25"/>
      <c r="J12" s="33"/>
      <c r="K12" s="13"/>
      <c r="L12" s="13"/>
      <c r="M12" s="13"/>
      <c r="N12" s="15"/>
      <c r="O12" s="33"/>
      <c r="P12" s="33"/>
      <c r="Q12" s="17"/>
      <c r="R12" s="31"/>
      <c r="S12" s="25"/>
      <c r="T12" s="32"/>
      <c r="U12" s="25"/>
      <c r="V12" s="25"/>
      <c r="W12" s="14"/>
    </row>
    <row r="13" spans="1:23" s="7" customFormat="1" ht="34.5" hidden="1" customHeight="1" x14ac:dyDescent="0.4">
      <c r="A13" s="34"/>
      <c r="B13" s="35"/>
      <c r="C13" s="25"/>
      <c r="D13" s="13"/>
      <c r="E13" s="59"/>
      <c r="F13" s="59"/>
      <c r="G13" s="59"/>
      <c r="H13" s="59"/>
      <c r="I13" s="25"/>
      <c r="J13" s="33"/>
      <c r="K13" s="13">
        <f t="shared" si="3"/>
        <v>0</v>
      </c>
      <c r="L13" s="13">
        <f t="shared" ref="L13:L27" si="11">C13+K13</f>
        <v>0</v>
      </c>
      <c r="M13" s="13"/>
      <c r="N13" s="15"/>
      <c r="O13" s="33"/>
      <c r="P13" s="33"/>
      <c r="Q13" s="17"/>
      <c r="R13" s="31"/>
      <c r="S13" s="25"/>
      <c r="T13" s="32"/>
      <c r="U13" s="25"/>
      <c r="V13" s="25"/>
      <c r="W13" s="14"/>
    </row>
    <row r="14" spans="1:23" s="7" customFormat="1" ht="34.5" hidden="1" customHeight="1" x14ac:dyDescent="0.4">
      <c r="A14" s="34"/>
      <c r="B14" s="35"/>
      <c r="C14" s="25"/>
      <c r="D14" s="13"/>
      <c r="E14" s="59"/>
      <c r="F14" s="59"/>
      <c r="G14" s="59"/>
      <c r="H14" s="59"/>
      <c r="I14" s="25"/>
      <c r="J14" s="33"/>
      <c r="K14" s="13">
        <f t="shared" si="3"/>
        <v>0</v>
      </c>
      <c r="L14" s="13">
        <f t="shared" si="11"/>
        <v>0</v>
      </c>
      <c r="M14" s="13"/>
      <c r="N14" s="15"/>
      <c r="O14" s="33"/>
      <c r="P14" s="33"/>
      <c r="Q14" s="17"/>
      <c r="R14" s="31"/>
      <c r="S14" s="25"/>
      <c r="T14" s="32"/>
      <c r="U14" s="25"/>
      <c r="V14" s="25"/>
      <c r="W14" s="14"/>
    </row>
    <row r="15" spans="1:23" s="7" customFormat="1" ht="34.5" hidden="1" customHeight="1" x14ac:dyDescent="0.4">
      <c r="A15" s="34"/>
      <c r="B15" s="35"/>
      <c r="C15" s="25"/>
      <c r="D15" s="13"/>
      <c r="E15" s="59"/>
      <c r="F15" s="59"/>
      <c r="G15" s="59"/>
      <c r="H15" s="59"/>
      <c r="I15" s="25"/>
      <c r="J15" s="33"/>
      <c r="K15" s="13">
        <f t="shared" si="3"/>
        <v>0</v>
      </c>
      <c r="L15" s="13">
        <f t="shared" si="11"/>
        <v>0</v>
      </c>
      <c r="M15" s="13"/>
      <c r="N15" s="15"/>
      <c r="O15" s="33"/>
      <c r="P15" s="33"/>
      <c r="Q15" s="17"/>
      <c r="R15" s="31"/>
      <c r="S15" s="25"/>
      <c r="T15" s="32"/>
      <c r="U15" s="25"/>
      <c r="V15" s="25"/>
      <c r="W15" s="14"/>
    </row>
    <row r="16" spans="1:23" s="7" customFormat="1" ht="34.5" hidden="1" customHeight="1" x14ac:dyDescent="0.4">
      <c r="A16" s="34"/>
      <c r="B16" s="35"/>
      <c r="C16" s="25"/>
      <c r="D16" s="13"/>
      <c r="E16" s="59"/>
      <c r="F16" s="59"/>
      <c r="G16" s="59"/>
      <c r="H16" s="59"/>
      <c r="I16" s="25"/>
      <c r="J16" s="33"/>
      <c r="K16" s="13">
        <f t="shared" si="3"/>
        <v>0</v>
      </c>
      <c r="L16" s="13">
        <f t="shared" si="11"/>
        <v>0</v>
      </c>
      <c r="M16" s="13"/>
      <c r="N16" s="15"/>
      <c r="O16" s="33"/>
      <c r="P16" s="33"/>
      <c r="Q16" s="17"/>
      <c r="R16" s="31"/>
      <c r="S16" s="25"/>
      <c r="T16" s="32"/>
      <c r="U16" s="25"/>
      <c r="V16" s="25"/>
      <c r="W16" s="14"/>
    </row>
    <row r="17" spans="1:23" s="7" customFormat="1" ht="34.5" hidden="1" customHeight="1" x14ac:dyDescent="0.4">
      <c r="A17" s="34"/>
      <c r="B17" s="35"/>
      <c r="C17" s="25"/>
      <c r="D17" s="13"/>
      <c r="E17" s="59"/>
      <c r="F17" s="59"/>
      <c r="G17" s="59"/>
      <c r="H17" s="59"/>
      <c r="I17" s="25"/>
      <c r="J17" s="33"/>
      <c r="K17" s="13">
        <f t="shared" si="3"/>
        <v>0</v>
      </c>
      <c r="L17" s="13">
        <f t="shared" si="11"/>
        <v>0</v>
      </c>
      <c r="M17" s="13"/>
      <c r="N17" s="15"/>
      <c r="O17" s="33"/>
      <c r="P17" s="33"/>
      <c r="Q17" s="17"/>
      <c r="R17" s="31"/>
      <c r="S17" s="25"/>
      <c r="T17" s="32"/>
      <c r="U17" s="25"/>
      <c r="V17" s="25"/>
      <c r="W17" s="14"/>
    </row>
    <row r="18" spans="1:23" s="7" customFormat="1" ht="34.5" hidden="1" customHeight="1" x14ac:dyDescent="0.4">
      <c r="A18" s="34"/>
      <c r="B18" s="35"/>
      <c r="C18" s="25"/>
      <c r="D18" s="13"/>
      <c r="E18" s="59"/>
      <c r="F18" s="59"/>
      <c r="G18" s="59"/>
      <c r="H18" s="59"/>
      <c r="I18" s="25"/>
      <c r="J18" s="33"/>
      <c r="K18" s="13">
        <f t="shared" si="3"/>
        <v>0</v>
      </c>
      <c r="L18" s="13">
        <f t="shared" si="11"/>
        <v>0</v>
      </c>
      <c r="M18" s="13"/>
      <c r="N18" s="15"/>
      <c r="O18" s="33"/>
      <c r="P18" s="33"/>
      <c r="Q18" s="17"/>
      <c r="R18" s="31"/>
      <c r="S18" s="25"/>
      <c r="T18" s="32"/>
      <c r="U18" s="25"/>
      <c r="V18" s="25"/>
      <c r="W18" s="14"/>
    </row>
    <row r="19" spans="1:23" s="7" customFormat="1" ht="34.5" hidden="1" customHeight="1" x14ac:dyDescent="0.4">
      <c r="A19" s="34"/>
      <c r="B19" s="35"/>
      <c r="C19" s="25"/>
      <c r="D19" s="13"/>
      <c r="E19" s="59"/>
      <c r="F19" s="59"/>
      <c r="G19" s="59"/>
      <c r="H19" s="59"/>
      <c r="I19" s="25"/>
      <c r="J19" s="33"/>
      <c r="K19" s="13">
        <f t="shared" si="3"/>
        <v>0</v>
      </c>
      <c r="L19" s="13">
        <f t="shared" si="11"/>
        <v>0</v>
      </c>
      <c r="M19" s="13"/>
      <c r="N19" s="15"/>
      <c r="O19" s="33"/>
      <c r="P19" s="33"/>
      <c r="Q19" s="17"/>
      <c r="R19" s="31"/>
      <c r="S19" s="25"/>
      <c r="T19" s="32"/>
      <c r="U19" s="25"/>
      <c r="V19" s="25"/>
      <c r="W19" s="14"/>
    </row>
    <row r="20" spans="1:23" s="7" customFormat="1" ht="34.5" hidden="1" customHeight="1" x14ac:dyDescent="0.4">
      <c r="A20" s="34"/>
      <c r="B20" s="35"/>
      <c r="C20" s="25"/>
      <c r="D20" s="13"/>
      <c r="E20" s="59"/>
      <c r="F20" s="59"/>
      <c r="G20" s="59"/>
      <c r="H20" s="59"/>
      <c r="I20" s="25"/>
      <c r="J20" s="33"/>
      <c r="K20" s="13">
        <f t="shared" si="3"/>
        <v>0</v>
      </c>
      <c r="L20" s="13">
        <f t="shared" si="11"/>
        <v>0</v>
      </c>
      <c r="M20" s="13"/>
      <c r="N20" s="15"/>
      <c r="O20" s="33"/>
      <c r="P20" s="33"/>
      <c r="Q20" s="17"/>
      <c r="R20" s="31"/>
      <c r="S20" s="25"/>
      <c r="T20" s="32"/>
      <c r="U20" s="25"/>
      <c r="V20" s="25"/>
      <c r="W20" s="14"/>
    </row>
    <row r="21" spans="1:23" s="7" customFormat="1" ht="34.5" hidden="1" customHeight="1" x14ac:dyDescent="0.4">
      <c r="A21" s="34"/>
      <c r="B21" s="35"/>
      <c r="C21" s="25"/>
      <c r="D21" s="13"/>
      <c r="E21" s="59"/>
      <c r="F21" s="59"/>
      <c r="G21" s="59"/>
      <c r="H21" s="59"/>
      <c r="I21" s="25"/>
      <c r="J21" s="33"/>
      <c r="K21" s="13">
        <f t="shared" si="3"/>
        <v>0</v>
      </c>
      <c r="L21" s="13">
        <f t="shared" si="11"/>
        <v>0</v>
      </c>
      <c r="M21" s="13"/>
      <c r="N21" s="15"/>
      <c r="O21" s="33"/>
      <c r="P21" s="33"/>
      <c r="Q21" s="17"/>
      <c r="R21" s="31"/>
      <c r="S21" s="25"/>
      <c r="T21" s="32"/>
      <c r="U21" s="25"/>
      <c r="V21" s="25"/>
      <c r="W21" s="14"/>
    </row>
    <row r="22" spans="1:23" s="7" customFormat="1" ht="34.5" hidden="1" customHeight="1" x14ac:dyDescent="0.4">
      <c r="A22" s="34"/>
      <c r="B22" s="35"/>
      <c r="C22" s="25"/>
      <c r="D22" s="13"/>
      <c r="E22" s="59"/>
      <c r="F22" s="59"/>
      <c r="G22" s="59"/>
      <c r="H22" s="59"/>
      <c r="I22" s="25"/>
      <c r="J22" s="33"/>
      <c r="K22" s="13">
        <f t="shared" si="3"/>
        <v>0</v>
      </c>
      <c r="L22" s="13">
        <f t="shared" si="11"/>
        <v>0</v>
      </c>
      <c r="M22" s="13"/>
      <c r="N22" s="15"/>
      <c r="O22" s="33"/>
      <c r="P22" s="33"/>
      <c r="Q22" s="17"/>
      <c r="R22" s="31"/>
      <c r="S22" s="25"/>
      <c r="T22" s="32"/>
      <c r="U22" s="25"/>
      <c r="V22" s="25"/>
      <c r="W22" s="14"/>
    </row>
    <row r="23" spans="1:23" s="7" customFormat="1" ht="34.5" hidden="1" customHeight="1" x14ac:dyDescent="0.4">
      <c r="A23" s="34"/>
      <c r="B23" s="35"/>
      <c r="C23" s="25"/>
      <c r="D23" s="13"/>
      <c r="E23" s="59"/>
      <c r="F23" s="59"/>
      <c r="G23" s="59"/>
      <c r="H23" s="59"/>
      <c r="I23" s="25"/>
      <c r="J23" s="33"/>
      <c r="K23" s="13">
        <f t="shared" si="3"/>
        <v>0</v>
      </c>
      <c r="L23" s="13">
        <f t="shared" si="11"/>
        <v>0</v>
      </c>
      <c r="M23" s="13"/>
      <c r="N23" s="15"/>
      <c r="O23" s="33"/>
      <c r="P23" s="33"/>
      <c r="Q23" s="17"/>
      <c r="R23" s="31"/>
      <c r="S23" s="25"/>
      <c r="T23" s="32"/>
      <c r="U23" s="25"/>
      <c r="V23" s="25"/>
      <c r="W23" s="14"/>
    </row>
    <row r="24" spans="1:23" s="7" customFormat="1" ht="34.5" hidden="1" customHeight="1" x14ac:dyDescent="0.4">
      <c r="A24" s="34"/>
      <c r="B24" s="35"/>
      <c r="C24" s="25"/>
      <c r="D24" s="13"/>
      <c r="E24" s="59"/>
      <c r="F24" s="59"/>
      <c r="G24" s="59"/>
      <c r="H24" s="59"/>
      <c r="I24" s="25"/>
      <c r="J24" s="33"/>
      <c r="K24" s="13">
        <f t="shared" si="3"/>
        <v>0</v>
      </c>
      <c r="L24" s="13">
        <f t="shared" si="11"/>
        <v>0</v>
      </c>
      <c r="M24" s="13"/>
      <c r="N24" s="15"/>
      <c r="O24" s="33"/>
      <c r="P24" s="33"/>
      <c r="Q24" s="17"/>
      <c r="R24" s="31"/>
      <c r="S24" s="25"/>
      <c r="T24" s="32"/>
      <c r="U24" s="25"/>
      <c r="V24" s="25"/>
      <c r="W24" s="14"/>
    </row>
    <row r="25" spans="1:23" s="7" customFormat="1" ht="34.5" hidden="1" customHeight="1" x14ac:dyDescent="0.4">
      <c r="A25" s="34"/>
      <c r="B25" s="35"/>
      <c r="C25" s="25"/>
      <c r="D25" s="13"/>
      <c r="E25" s="59"/>
      <c r="F25" s="59"/>
      <c r="G25" s="59"/>
      <c r="H25" s="59"/>
      <c r="I25" s="25"/>
      <c r="J25" s="33"/>
      <c r="K25" s="13">
        <f t="shared" si="3"/>
        <v>0</v>
      </c>
      <c r="L25" s="13">
        <f t="shared" si="11"/>
        <v>0</v>
      </c>
      <c r="M25" s="13"/>
      <c r="N25" s="15"/>
      <c r="O25" s="33"/>
      <c r="P25" s="33"/>
      <c r="Q25" s="17"/>
      <c r="R25" s="31"/>
      <c r="S25" s="25"/>
      <c r="T25" s="32"/>
      <c r="U25" s="25"/>
      <c r="V25" s="25"/>
      <c r="W25" s="14"/>
    </row>
    <row r="26" spans="1:23" s="7" customFormat="1" ht="34.5" hidden="1" customHeight="1" x14ac:dyDescent="0.4">
      <c r="A26" s="34"/>
      <c r="B26" s="35"/>
      <c r="C26" s="25"/>
      <c r="D26" s="13"/>
      <c r="E26" s="59"/>
      <c r="F26" s="59"/>
      <c r="G26" s="59"/>
      <c r="H26" s="59"/>
      <c r="I26" s="25"/>
      <c r="J26" s="33"/>
      <c r="K26" s="13">
        <f t="shared" si="3"/>
        <v>0</v>
      </c>
      <c r="L26" s="13">
        <f t="shared" si="11"/>
        <v>0</v>
      </c>
      <c r="M26" s="13"/>
      <c r="N26" s="15"/>
      <c r="O26" s="33"/>
      <c r="P26" s="33"/>
      <c r="Q26" s="17"/>
      <c r="R26" s="31"/>
      <c r="S26" s="25"/>
      <c r="T26" s="32"/>
      <c r="U26" s="25"/>
      <c r="V26" s="25"/>
      <c r="W26" s="14"/>
    </row>
    <row r="27" spans="1:23" s="7" customFormat="1" ht="34.5" hidden="1" customHeight="1" x14ac:dyDescent="0.4">
      <c r="A27" s="34"/>
      <c r="B27" s="35"/>
      <c r="C27" s="25"/>
      <c r="D27" s="13"/>
      <c r="E27" s="59"/>
      <c r="F27" s="59"/>
      <c r="G27" s="59"/>
      <c r="H27" s="59"/>
      <c r="I27" s="25"/>
      <c r="J27" s="33"/>
      <c r="K27" s="13">
        <f t="shared" si="3"/>
        <v>0</v>
      </c>
      <c r="L27" s="13">
        <f t="shared" si="11"/>
        <v>0</v>
      </c>
      <c r="M27" s="13"/>
      <c r="N27" s="15"/>
      <c r="O27" s="33"/>
      <c r="P27" s="33"/>
      <c r="Q27" s="17"/>
      <c r="R27" s="31"/>
      <c r="S27" s="25"/>
      <c r="T27" s="32"/>
      <c r="U27" s="25"/>
      <c r="V27" s="25"/>
      <c r="W27" s="14"/>
    </row>
    <row r="28" spans="1:23" s="7" customFormat="1" ht="42" customHeight="1" x14ac:dyDescent="0.4">
      <c r="A28" s="34"/>
      <c r="B28" s="35"/>
      <c r="C28" s="25"/>
      <c r="D28" s="13"/>
      <c r="E28" s="59"/>
      <c r="F28" s="59"/>
      <c r="G28" s="59"/>
      <c r="H28" s="59"/>
      <c r="I28" s="25"/>
      <c r="J28" s="33"/>
      <c r="K28" s="13"/>
      <c r="L28" s="13"/>
      <c r="M28" s="13"/>
      <c r="N28" s="15"/>
      <c r="O28" s="33"/>
      <c r="P28" s="33"/>
      <c r="Q28" s="17"/>
      <c r="R28" s="31"/>
      <c r="S28" s="25"/>
      <c r="T28" s="32"/>
      <c r="U28" s="25"/>
      <c r="V28" s="25"/>
      <c r="W28" s="14"/>
    </row>
    <row r="29" spans="1:23" s="21" customFormat="1" ht="34.5" customHeight="1" x14ac:dyDescent="0.4">
      <c r="A29" s="8" t="s">
        <v>19</v>
      </c>
      <c r="B29" s="23">
        <f>SUM(B5:B28)</f>
        <v>12.063000000000001</v>
      </c>
      <c r="C29" s="16">
        <f>SUM(C5:C28)</f>
        <v>28586.960000000006</v>
      </c>
      <c r="D29" s="16">
        <f t="shared" ref="D29" si="12">C29/B29</f>
        <v>2369.8051894222003</v>
      </c>
      <c r="E29" s="60">
        <f>D29/D29</f>
        <v>1</v>
      </c>
      <c r="F29" s="60">
        <v>0.59899999999999998</v>
      </c>
      <c r="G29" s="60">
        <f t="shared" ref="G29" si="13">E29/F29</f>
        <v>1.669449081803005</v>
      </c>
      <c r="H29" s="60">
        <f>SUM(H5:H28)/2</f>
        <v>2.1825000000000001</v>
      </c>
      <c r="I29" s="28">
        <f>SUM(I5:I28)</f>
        <v>18389.7748279343</v>
      </c>
      <c r="J29" s="71"/>
      <c r="K29" s="16">
        <f>SUM(K5:K28)</f>
        <v>16250.797345140869</v>
      </c>
      <c r="L29" s="16">
        <f>SUM(L5:L28)</f>
        <v>49773.951345140871</v>
      </c>
      <c r="M29" s="13">
        <f t="shared" si="6"/>
        <v>4.1261669025234902</v>
      </c>
      <c r="N29" s="15">
        <f>(D29+K29/(F29*B29*$M$29))/1000</f>
        <v>2.9148669732112555</v>
      </c>
      <c r="O29" s="20">
        <f>SUM(O5:O28)</f>
        <v>28586.960000000006</v>
      </c>
      <c r="P29" s="64">
        <f>SUM(P5:P28)</f>
        <v>5147.6549999999997</v>
      </c>
      <c r="Q29" s="20">
        <f>(O29+P29)/B29</f>
        <v>2796.536102130482</v>
      </c>
      <c r="R29" s="71">
        <v>1</v>
      </c>
      <c r="S29" s="28">
        <f>SUM(S5:S28)</f>
        <v>8683.418642907749</v>
      </c>
      <c r="T29" s="61">
        <v>11000</v>
      </c>
      <c r="U29" s="28">
        <f>SUM(U5:U28)</f>
        <v>-5250.7973451408689</v>
      </c>
      <c r="V29" s="28">
        <f>SUM(V5:V28)</f>
        <v>11000</v>
      </c>
      <c r="W29" s="64">
        <f>SUM(W5:W28)/5</f>
        <v>1.3212479810193747</v>
      </c>
    </row>
    <row r="30" spans="1:23" s="9" customFormat="1" ht="26.25" x14ac:dyDescent="0.25">
      <c r="F30" s="75"/>
      <c r="S30" s="10"/>
      <c r="T30" s="10"/>
    </row>
    <row r="31" spans="1:23" x14ac:dyDescent="0.4">
      <c r="B31" s="22"/>
      <c r="C31" s="22"/>
      <c r="D31" s="22"/>
      <c r="E31" s="22"/>
      <c r="F31" s="76"/>
      <c r="G31" s="22"/>
      <c r="H31" s="22"/>
      <c r="I31" s="22"/>
      <c r="J31" s="22"/>
      <c r="K31" s="22"/>
      <c r="L31" s="22"/>
      <c r="M31" s="22"/>
      <c r="N31" s="22"/>
    </row>
    <row r="32" spans="1:23" x14ac:dyDescent="0.4">
      <c r="B32" s="22" t="s">
        <v>55</v>
      </c>
      <c r="C32" s="22"/>
      <c r="D32" s="22"/>
      <c r="E32" s="22"/>
      <c r="F32" s="76"/>
      <c r="G32" s="22"/>
      <c r="H32" s="22"/>
      <c r="I32" s="22"/>
      <c r="J32" s="22"/>
      <c r="K32" s="22"/>
      <c r="L32" s="22"/>
      <c r="M32" s="22" t="s">
        <v>56</v>
      </c>
      <c r="N32" s="22"/>
      <c r="T32" s="63"/>
    </row>
    <row r="33" spans="6:6" x14ac:dyDescent="0.4">
      <c r="F33" s="77"/>
    </row>
    <row r="34" spans="6:6" x14ac:dyDescent="0.4">
      <c r="F34" s="77"/>
    </row>
    <row r="35" spans="6:6" x14ac:dyDescent="0.4">
      <c r="F35" s="77"/>
    </row>
  </sheetData>
  <sortState xmlns:xlrd2="http://schemas.microsoft.com/office/spreadsheetml/2017/richdata2" ref="A5:W28">
    <sortCondition ref="A5"/>
  </sortState>
  <mergeCells count="2">
    <mergeCell ref="S2:T2"/>
    <mergeCell ref="J2:K2"/>
  </mergeCells>
  <pageMargins left="0" right="0" top="0" bottom="0" header="0.31496062992125984" footer="0.31496062992125984"/>
  <pageSetup paperSize="9" scale="47" fitToWidth="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7DCB5-F6F6-4A1C-A668-EC5D56F90C68}">
  <sheetPr>
    <pageSetUpPr fitToPage="1"/>
  </sheetPr>
  <dimension ref="A1:W14"/>
  <sheetViews>
    <sheetView zoomScale="75" zoomScaleNormal="75" workbookViewId="0">
      <pane xSplit="1" ySplit="3" topLeftCell="O10" activePane="bottomRight" state="frozen"/>
      <selection pane="topRight" activeCell="B1" sqref="B1"/>
      <selection pane="bottomLeft" activeCell="A5" sqref="A5"/>
      <selection pane="bottomRight" activeCell="S10" sqref="S10"/>
    </sheetView>
  </sheetViews>
  <sheetFormatPr defaultColWidth="19.5703125" defaultRowHeight="30" x14ac:dyDescent="0.4"/>
  <cols>
    <col min="1" max="1" width="72.7109375" style="1" customWidth="1"/>
    <col min="2" max="2" width="0.7109375" style="1" hidden="1" customWidth="1"/>
    <col min="3" max="3" width="0.140625" style="1" hidden="1" customWidth="1"/>
    <col min="4" max="4" width="24.42578125" style="1" hidden="1" customWidth="1"/>
    <col min="5" max="5" width="29" style="1" hidden="1" customWidth="1"/>
    <col min="6" max="6" width="26.5703125" style="1" hidden="1" customWidth="1"/>
    <col min="7" max="7" width="25.42578125" style="1" hidden="1" customWidth="1"/>
    <col min="8" max="8" width="33.140625" style="1" hidden="1" customWidth="1"/>
    <col min="9" max="9" width="33" style="1" hidden="1" customWidth="1"/>
    <col min="10" max="10" width="25.85546875" style="1" hidden="1" customWidth="1"/>
    <col min="11" max="11" width="30.7109375" style="1" hidden="1" customWidth="1"/>
    <col min="12" max="12" width="26.85546875" style="1" hidden="1" customWidth="1"/>
    <col min="13" max="13" width="28.140625" style="1" hidden="1" customWidth="1"/>
    <col min="14" max="14" width="33.42578125" style="1" hidden="1" customWidth="1"/>
    <col min="15" max="15" width="26.28515625" style="1" customWidth="1"/>
    <col min="16" max="16" width="23.140625" style="1" customWidth="1"/>
    <col min="17" max="23" width="19.5703125" style="1"/>
    <col min="24" max="24" width="34.140625" style="1" customWidth="1"/>
    <col min="25" max="16384" width="19.5703125" style="1"/>
  </cols>
  <sheetData>
    <row r="1" spans="1:23" ht="89.25" customHeight="1" x14ac:dyDescent="0.4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23" s="4" customFormat="1" ht="275.25" customHeight="1" x14ac:dyDescent="0.25">
      <c r="A2" s="36" t="s">
        <v>0</v>
      </c>
      <c r="B2" s="36" t="s">
        <v>7</v>
      </c>
      <c r="C2" s="36" t="s">
        <v>20</v>
      </c>
      <c r="D2" s="36" t="s">
        <v>1</v>
      </c>
      <c r="E2" s="36" t="s">
        <v>8</v>
      </c>
      <c r="F2" s="36" t="s">
        <v>2</v>
      </c>
      <c r="G2" s="36" t="s">
        <v>3</v>
      </c>
      <c r="H2" s="36" t="s">
        <v>9</v>
      </c>
      <c r="I2" s="36" t="s">
        <v>4</v>
      </c>
      <c r="J2" s="36" t="s">
        <v>28</v>
      </c>
      <c r="K2" s="36" t="s">
        <v>5</v>
      </c>
      <c r="L2" s="36" t="s">
        <v>10</v>
      </c>
      <c r="M2" s="36" t="s">
        <v>11</v>
      </c>
      <c r="N2" s="36" t="s">
        <v>12</v>
      </c>
      <c r="O2" s="38" t="s">
        <v>58</v>
      </c>
    </row>
    <row r="3" spans="1:23" s="6" customFormat="1" ht="30.75" x14ac:dyDescent="0.2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K3" s="39">
        <v>11</v>
      </c>
      <c r="L3" s="39">
        <v>12</v>
      </c>
      <c r="M3" s="39">
        <v>13</v>
      </c>
      <c r="N3" s="39">
        <v>14</v>
      </c>
      <c r="O3" s="40"/>
    </row>
    <row r="4" spans="1:23" s="7" customFormat="1" ht="61.5" customHeight="1" x14ac:dyDescent="0.4">
      <c r="A4" s="41" t="s">
        <v>21</v>
      </c>
      <c r="B4" s="42">
        <v>6.9</v>
      </c>
      <c r="C4" s="27">
        <v>17998.099999999999</v>
      </c>
      <c r="D4" s="43">
        <f t="shared" ref="D4:D10" si="0">C4/B4</f>
        <v>2608.420289855072</v>
      </c>
      <c r="E4" s="44">
        <f t="shared" ref="E4:E9" si="1">D4/D$10</f>
        <v>1.6590956588880439</v>
      </c>
      <c r="F4" s="45">
        <v>0.66900000000000004</v>
      </c>
      <c r="G4" s="44">
        <f t="shared" ref="G4:G10" si="2">E4/F4</f>
        <v>2.4799636156771956</v>
      </c>
      <c r="H4" s="45">
        <v>2.48</v>
      </c>
      <c r="I4" s="43"/>
      <c r="J4" s="45">
        <v>0.7</v>
      </c>
      <c r="K4" s="43">
        <f t="shared" ref="K4:K9" si="3">I4*J4</f>
        <v>0</v>
      </c>
      <c r="L4" s="46"/>
      <c r="M4" s="43">
        <f t="shared" ref="M4:M10" si="4">L4/B4</f>
        <v>0</v>
      </c>
      <c r="N4" s="47" t="e">
        <f t="shared" ref="N4:N9" si="5">G4+K4/(F4*B4*$M$10)</f>
        <v>#REF!</v>
      </c>
      <c r="O4" s="25">
        <v>1500</v>
      </c>
    </row>
    <row r="5" spans="1:23" s="7" customFormat="1" ht="61.5" customHeight="1" x14ac:dyDescent="0.4">
      <c r="A5" s="41" t="s">
        <v>22</v>
      </c>
      <c r="B5" s="42">
        <v>1.5</v>
      </c>
      <c r="C5" s="27">
        <v>617.29999999999995</v>
      </c>
      <c r="D5" s="43">
        <f t="shared" si="0"/>
        <v>411.5333333333333</v>
      </c>
      <c r="E5" s="44">
        <f t="shared" si="1"/>
        <v>0.26175734388992794</v>
      </c>
      <c r="F5" s="45">
        <v>1.181</v>
      </c>
      <c r="G5" s="44">
        <f t="shared" si="2"/>
        <v>0.22164042666378317</v>
      </c>
      <c r="H5" s="45"/>
      <c r="I5" s="43">
        <f t="shared" ref="I5:I9" si="6">$D$10*($H$10-G5)*F5*B5</f>
        <v>1242.4783861212682</v>
      </c>
      <c r="J5" s="45">
        <v>0.7</v>
      </c>
      <c r="K5" s="43">
        <f t="shared" si="3"/>
        <v>869.73487028488762</v>
      </c>
      <c r="L5" s="43" t="e">
        <f>C5+K5+#REF!</f>
        <v>#REF!</v>
      </c>
      <c r="M5" s="43" t="e">
        <f t="shared" si="4"/>
        <v>#REF!</v>
      </c>
      <c r="N5" s="47" t="e">
        <f t="shared" si="5"/>
        <v>#REF!</v>
      </c>
      <c r="O5" s="33">
        <v>240</v>
      </c>
      <c r="P5" s="56"/>
      <c r="Q5" s="57"/>
      <c r="R5" s="55"/>
      <c r="W5" s="53"/>
    </row>
    <row r="6" spans="1:23" s="7" customFormat="1" ht="78.75" customHeight="1" x14ac:dyDescent="0.4">
      <c r="A6" s="41" t="s">
        <v>23</v>
      </c>
      <c r="B6" s="42">
        <v>1.2</v>
      </c>
      <c r="C6" s="27">
        <v>775.8</v>
      </c>
      <c r="D6" s="43">
        <f t="shared" si="0"/>
        <v>646.5</v>
      </c>
      <c r="E6" s="44">
        <f t="shared" si="1"/>
        <v>0.41120878703589442</v>
      </c>
      <c r="F6" s="45">
        <v>1.512</v>
      </c>
      <c r="G6" s="44">
        <f t="shared" si="2"/>
        <v>0.27196348348934818</v>
      </c>
      <c r="H6" s="45"/>
      <c r="I6" s="43">
        <f t="shared" si="6"/>
        <v>1129.0162030925364</v>
      </c>
      <c r="J6" s="45">
        <v>0.7</v>
      </c>
      <c r="K6" s="43">
        <f t="shared" si="3"/>
        <v>790.31134216477551</v>
      </c>
      <c r="L6" s="43" t="e">
        <f>C6+K6+#REF!</f>
        <v>#REF!</v>
      </c>
      <c r="M6" s="43" t="e">
        <f t="shared" si="4"/>
        <v>#REF!</v>
      </c>
      <c r="N6" s="47" t="e">
        <f t="shared" si="5"/>
        <v>#REF!</v>
      </c>
      <c r="O6" s="33">
        <v>230</v>
      </c>
      <c r="P6" s="56"/>
      <c r="Q6" s="57"/>
      <c r="R6" s="55"/>
      <c r="W6" s="53"/>
    </row>
    <row r="7" spans="1:23" s="7" customFormat="1" ht="69.75" customHeight="1" x14ac:dyDescent="0.4">
      <c r="A7" s="41" t="s">
        <v>24</v>
      </c>
      <c r="B7" s="42">
        <v>1</v>
      </c>
      <c r="C7" s="27">
        <v>542</v>
      </c>
      <c r="D7" s="43">
        <f t="shared" si="0"/>
        <v>542</v>
      </c>
      <c r="E7" s="44">
        <f t="shared" si="1"/>
        <v>0.34474116407340261</v>
      </c>
      <c r="F7" s="45">
        <v>1.401</v>
      </c>
      <c r="G7" s="44">
        <f t="shared" si="2"/>
        <v>0.24606792581970208</v>
      </c>
      <c r="H7" s="45"/>
      <c r="I7" s="43">
        <f t="shared" si="6"/>
        <v>928.81542136940266</v>
      </c>
      <c r="J7" s="45">
        <v>0.7</v>
      </c>
      <c r="K7" s="43">
        <f t="shared" si="3"/>
        <v>650.17079495858184</v>
      </c>
      <c r="L7" s="43" t="e">
        <f>C7+K7+#REF!</f>
        <v>#REF!</v>
      </c>
      <c r="M7" s="43" t="e">
        <f t="shared" si="4"/>
        <v>#REF!</v>
      </c>
      <c r="N7" s="47" t="e">
        <f t="shared" si="5"/>
        <v>#REF!</v>
      </c>
      <c r="O7" s="33">
        <v>380</v>
      </c>
      <c r="P7" s="56"/>
      <c r="Q7" s="57"/>
      <c r="R7" s="55"/>
      <c r="W7" s="53"/>
    </row>
    <row r="8" spans="1:23" s="7" customFormat="1" ht="69" customHeight="1" x14ac:dyDescent="0.4">
      <c r="A8" s="41" t="s">
        <v>25</v>
      </c>
      <c r="B8" s="42">
        <v>1.1000000000000001</v>
      </c>
      <c r="C8" s="27">
        <v>494.6</v>
      </c>
      <c r="D8" s="43">
        <f t="shared" si="0"/>
        <v>449.63636363636363</v>
      </c>
      <c r="E8" s="44">
        <f t="shared" si="1"/>
        <v>0.28599292142016924</v>
      </c>
      <c r="F8" s="45">
        <v>1.494</v>
      </c>
      <c r="G8" s="44">
        <f t="shared" si="2"/>
        <v>0.1914276582464319</v>
      </c>
      <c r="H8" s="45">
        <v>0.191</v>
      </c>
      <c r="I8" s="43">
        <f t="shared" si="6"/>
        <v>1230.694834745522</v>
      </c>
      <c r="J8" s="45">
        <v>0.7</v>
      </c>
      <c r="K8" s="43">
        <f t="shared" si="3"/>
        <v>861.48638432186533</v>
      </c>
      <c r="L8" s="43" t="e">
        <f>C8+K8+#REF!</f>
        <v>#REF!</v>
      </c>
      <c r="M8" s="43" t="e">
        <f t="shared" si="4"/>
        <v>#REF!</v>
      </c>
      <c r="N8" s="47" t="e">
        <f t="shared" si="5"/>
        <v>#REF!</v>
      </c>
      <c r="O8" s="33">
        <v>272</v>
      </c>
      <c r="P8" s="58"/>
      <c r="Q8" s="57"/>
      <c r="R8" s="55"/>
      <c r="W8" s="53"/>
    </row>
    <row r="9" spans="1:23" s="7" customFormat="1" ht="63" customHeight="1" x14ac:dyDescent="0.4">
      <c r="A9" s="41" t="s">
        <v>26</v>
      </c>
      <c r="B9" s="42">
        <v>1.7</v>
      </c>
      <c r="C9" s="27">
        <v>639.6</v>
      </c>
      <c r="D9" s="43">
        <f t="shared" si="0"/>
        <v>376.23529411764707</v>
      </c>
      <c r="E9" s="44">
        <f t="shared" si="1"/>
        <v>0.23930589162290894</v>
      </c>
      <c r="F9" s="45">
        <v>1.101</v>
      </c>
      <c r="G9" s="44">
        <f t="shared" si="2"/>
        <v>0.21735321673288732</v>
      </c>
      <c r="H9" s="45"/>
      <c r="I9" s="43">
        <f t="shared" si="6"/>
        <v>1325.3716089772381</v>
      </c>
      <c r="J9" s="45">
        <v>0.7</v>
      </c>
      <c r="K9" s="43">
        <f t="shared" si="3"/>
        <v>927.76012628406659</v>
      </c>
      <c r="L9" s="43" t="e">
        <f>C9+K9+#REF!</f>
        <v>#REF!</v>
      </c>
      <c r="M9" s="43" t="e">
        <f t="shared" si="4"/>
        <v>#REF!</v>
      </c>
      <c r="N9" s="47" t="e">
        <f t="shared" si="5"/>
        <v>#REF!</v>
      </c>
      <c r="O9" s="33">
        <v>450</v>
      </c>
      <c r="P9" s="56"/>
      <c r="Q9" s="57"/>
      <c r="R9" s="55"/>
      <c r="W9" s="53"/>
    </row>
    <row r="10" spans="1:23" s="21" customFormat="1" ht="51.75" customHeight="1" x14ac:dyDescent="0.4">
      <c r="A10" s="65" t="s">
        <v>19</v>
      </c>
      <c r="B10" s="66">
        <f>SUM(B4:B9)</f>
        <v>13.399999999999999</v>
      </c>
      <c r="C10" s="67">
        <f>SUM(C4:C9)</f>
        <v>21067.399999999994</v>
      </c>
      <c r="D10" s="67">
        <f t="shared" si="0"/>
        <v>1572.1940298507459</v>
      </c>
      <c r="E10" s="68">
        <f>D10/D10</f>
        <v>1</v>
      </c>
      <c r="F10" s="68">
        <v>1.00021659538301</v>
      </c>
      <c r="G10" s="68">
        <f t="shared" si="2"/>
        <v>0.99978345152039083</v>
      </c>
      <c r="H10" s="68">
        <f>SUM(H4:H9)/4</f>
        <v>0.66774999999999995</v>
      </c>
      <c r="I10" s="67">
        <f>SUM(I4:I9)</f>
        <v>5856.3764543059669</v>
      </c>
      <c r="J10" s="68"/>
      <c r="K10" s="67">
        <f>SUM(K4:K9)</f>
        <v>4099.4635180141768</v>
      </c>
      <c r="L10" s="67" t="e">
        <f>SUM(L4:L9)</f>
        <v>#REF!</v>
      </c>
      <c r="M10" s="67" t="e">
        <f t="shared" si="4"/>
        <v>#REF!</v>
      </c>
      <c r="N10" s="69">
        <v>1</v>
      </c>
      <c r="O10" s="70">
        <f>SUM(O4:O9)</f>
        <v>3072</v>
      </c>
      <c r="Q10" s="57"/>
      <c r="R10" s="55"/>
      <c r="W10" s="54"/>
    </row>
    <row r="11" spans="1:23" s="9" customFormat="1" ht="26.25" x14ac:dyDescent="0.25"/>
    <row r="12" spans="1:23" s="9" customFormat="1" ht="26.25" x14ac:dyDescent="0.25">
      <c r="G12" s="10"/>
      <c r="K12" s="10"/>
    </row>
    <row r="13" spans="1:23" s="11" customFormat="1" ht="26.25" x14ac:dyDescent="0.4">
      <c r="G13" s="12"/>
      <c r="H13" s="12"/>
      <c r="N13" s="12"/>
      <c r="O13" s="26"/>
    </row>
    <row r="14" spans="1:23" s="11" customFormat="1" ht="26.25" x14ac:dyDescent="0.4"/>
  </sheetData>
  <mergeCells count="1">
    <mergeCell ref="A1:O1"/>
  </mergeCells>
  <pageMargins left="0" right="0" top="0" bottom="0" header="0.31496062992125984" footer="0.31496062992125984"/>
  <pageSetup paperSize="9" scale="95" fitToWidth="3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3" sqref="H13"/>
    </sheetView>
  </sheetViews>
  <sheetFormatPr defaultColWidth="19.5703125" defaultRowHeight="30" x14ac:dyDescent="0.4"/>
  <cols>
    <col min="1" max="1" width="46" style="1" customWidth="1"/>
    <col min="2" max="2" width="19.5703125" style="1"/>
    <col min="3" max="3" width="22.42578125" style="1" customWidth="1"/>
    <col min="4" max="4" width="16.7109375" style="1" customWidth="1"/>
    <col min="5" max="5" width="19.5703125" style="1"/>
    <col min="6" max="6" width="19.42578125" style="1" customWidth="1"/>
    <col min="7" max="7" width="19.5703125" style="1"/>
    <col min="8" max="8" width="20.5703125" style="1" customWidth="1"/>
    <col min="9" max="9" width="18.5703125" style="1" customWidth="1"/>
    <col min="10" max="16384" width="19.5703125" style="1"/>
  </cols>
  <sheetData>
    <row r="1" spans="1:9" ht="58.5" customHeight="1" x14ac:dyDescent="0.4">
      <c r="A1" s="135" t="s">
        <v>63</v>
      </c>
      <c r="B1" s="135"/>
      <c r="C1" s="135"/>
      <c r="D1" s="135"/>
      <c r="E1" s="135"/>
      <c r="F1" s="135"/>
    </row>
    <row r="2" spans="1:9" ht="41.25" customHeight="1" x14ac:dyDescent="0.4">
      <c r="A2" s="78"/>
      <c r="B2" s="78"/>
      <c r="C2" s="78"/>
      <c r="D2" s="78"/>
      <c r="E2" s="136" t="s">
        <v>65</v>
      </c>
      <c r="F2" s="137"/>
    </row>
    <row r="3" spans="1:9" s="4" customFormat="1" ht="275.25" customHeight="1" x14ac:dyDescent="0.25">
      <c r="A3" s="36" t="s">
        <v>0</v>
      </c>
      <c r="B3" s="36" t="s">
        <v>27</v>
      </c>
      <c r="C3" s="37" t="s">
        <v>52</v>
      </c>
      <c r="D3" s="85" t="s">
        <v>53</v>
      </c>
      <c r="E3" s="85" t="s">
        <v>58</v>
      </c>
      <c r="F3" s="86" t="s">
        <v>29</v>
      </c>
      <c r="G3" s="36" t="s">
        <v>66</v>
      </c>
      <c r="H3" s="91" t="s">
        <v>67</v>
      </c>
      <c r="I3" s="97" t="s">
        <v>68</v>
      </c>
    </row>
    <row r="4" spans="1:9" s="6" customFormat="1" ht="30.75" x14ac:dyDescent="0.25">
      <c r="A4" s="39">
        <v>1</v>
      </c>
      <c r="B4" s="39">
        <v>2</v>
      </c>
      <c r="C4" s="39">
        <v>3</v>
      </c>
      <c r="D4" s="40">
        <v>4</v>
      </c>
      <c r="E4" s="40">
        <v>5</v>
      </c>
      <c r="F4" s="39">
        <v>6</v>
      </c>
      <c r="G4" s="5">
        <v>7</v>
      </c>
      <c r="H4" s="5">
        <v>8</v>
      </c>
      <c r="I4" s="94"/>
    </row>
    <row r="5" spans="1:9" s="7" customFormat="1" ht="61.5" customHeight="1" x14ac:dyDescent="0.4">
      <c r="A5" s="87" t="s">
        <v>21</v>
      </c>
      <c r="B5" s="79">
        <v>23162.06</v>
      </c>
      <c r="C5" s="80">
        <v>2684.991</v>
      </c>
      <c r="D5" s="81">
        <v>0</v>
      </c>
      <c r="E5" s="81"/>
      <c r="F5" s="89">
        <f>B5+C5+D5+E5</f>
        <v>25847.050999999999</v>
      </c>
      <c r="G5" s="92"/>
      <c r="H5" s="93">
        <v>3500</v>
      </c>
      <c r="I5" s="95">
        <v>3500</v>
      </c>
    </row>
    <row r="6" spans="1:9" s="7" customFormat="1" ht="61.5" customHeight="1" x14ac:dyDescent="0.4">
      <c r="A6" s="87" t="s">
        <v>22</v>
      </c>
      <c r="B6" s="79">
        <v>844.4</v>
      </c>
      <c r="C6" s="80">
        <v>560.72400000000005</v>
      </c>
      <c r="D6" s="82">
        <v>3398.1</v>
      </c>
      <c r="E6" s="83">
        <v>240</v>
      </c>
      <c r="F6" s="89">
        <f>B6+C6+D6+E6</f>
        <v>5043.2240000000002</v>
      </c>
      <c r="G6" s="93">
        <v>828.6</v>
      </c>
      <c r="H6" s="93">
        <v>1800</v>
      </c>
      <c r="I6" s="95">
        <v>1600</v>
      </c>
    </row>
    <row r="7" spans="1:9" s="7" customFormat="1" ht="78.75" customHeight="1" x14ac:dyDescent="0.4">
      <c r="A7" s="87" t="s">
        <v>23</v>
      </c>
      <c r="B7" s="79">
        <v>897.5</v>
      </c>
      <c r="C7" s="80">
        <v>462.15</v>
      </c>
      <c r="D7" s="82">
        <v>1904.2</v>
      </c>
      <c r="E7" s="83">
        <v>230</v>
      </c>
      <c r="F7" s="89">
        <f t="shared" ref="F7:F10" si="0">B7+C7+D7+E7</f>
        <v>3493.8500000000004</v>
      </c>
      <c r="G7" s="93">
        <v>161.6</v>
      </c>
      <c r="H7" s="93">
        <v>1100</v>
      </c>
      <c r="I7" s="95">
        <v>1000</v>
      </c>
    </row>
    <row r="8" spans="1:9" s="7" customFormat="1" ht="69.75" customHeight="1" x14ac:dyDescent="0.4">
      <c r="A8" s="87" t="s">
        <v>24</v>
      </c>
      <c r="B8" s="79">
        <v>695.5</v>
      </c>
      <c r="C8" s="80">
        <v>389.17899999999997</v>
      </c>
      <c r="D8" s="82">
        <v>2032.8</v>
      </c>
      <c r="E8" s="83">
        <v>380</v>
      </c>
      <c r="F8" s="89">
        <f t="shared" si="0"/>
        <v>3497.4790000000003</v>
      </c>
      <c r="G8" s="93">
        <v>163.1</v>
      </c>
      <c r="H8" s="93">
        <v>700</v>
      </c>
      <c r="I8" s="95">
        <v>700</v>
      </c>
    </row>
    <row r="9" spans="1:9" s="7" customFormat="1" ht="69" customHeight="1" x14ac:dyDescent="0.4">
      <c r="A9" s="87" t="s">
        <v>25</v>
      </c>
      <c r="B9" s="79">
        <f>638.1+6000-6000+1000-1000</f>
        <v>638.10000000000036</v>
      </c>
      <c r="C9" s="80">
        <v>418.62299999999999</v>
      </c>
      <c r="D9" s="82">
        <v>845.6</v>
      </c>
      <c r="E9" s="83">
        <v>272</v>
      </c>
      <c r="F9" s="89">
        <f t="shared" si="0"/>
        <v>2174.3230000000003</v>
      </c>
      <c r="G9" s="93">
        <v>-1377.7</v>
      </c>
      <c r="H9" s="93">
        <v>600</v>
      </c>
      <c r="I9" s="95">
        <v>1000</v>
      </c>
    </row>
    <row r="10" spans="1:9" s="7" customFormat="1" ht="63" customHeight="1" x14ac:dyDescent="0.4">
      <c r="A10" s="87" t="s">
        <v>26</v>
      </c>
      <c r="B10" s="79">
        <v>1349.4</v>
      </c>
      <c r="C10" s="80">
        <v>631.98800000000006</v>
      </c>
      <c r="D10" s="82">
        <v>2819.3</v>
      </c>
      <c r="E10" s="83">
        <v>450</v>
      </c>
      <c r="F10" s="89">
        <f t="shared" si="0"/>
        <v>5250.6880000000001</v>
      </c>
      <c r="G10" s="93">
        <v>224.4</v>
      </c>
      <c r="H10" s="93">
        <v>1300</v>
      </c>
      <c r="I10" s="95">
        <v>1200</v>
      </c>
    </row>
    <row r="11" spans="1:9" s="21" customFormat="1" ht="51.75" customHeight="1" x14ac:dyDescent="0.4">
      <c r="A11" s="88" t="s">
        <v>19</v>
      </c>
      <c r="B11" s="84">
        <f>B5+B6+B7+B8+B9+B10</f>
        <v>27586.960000000006</v>
      </c>
      <c r="C11" s="84">
        <f t="shared" ref="C11:I11" si="1">C5+C6+C7+C8+C9+C10</f>
        <v>5147.6549999999997</v>
      </c>
      <c r="D11" s="90">
        <f t="shared" si="1"/>
        <v>11000</v>
      </c>
      <c r="E11" s="90">
        <f t="shared" si="1"/>
        <v>1572</v>
      </c>
      <c r="F11" s="84">
        <f t="shared" si="1"/>
        <v>45306.614999999998</v>
      </c>
      <c r="G11" s="84">
        <f t="shared" si="1"/>
        <v>0</v>
      </c>
      <c r="H11" s="84">
        <f t="shared" si="1"/>
        <v>9000</v>
      </c>
      <c r="I11" s="96">
        <f t="shared" si="1"/>
        <v>9000</v>
      </c>
    </row>
    <row r="12" spans="1:9" s="9" customFormat="1" ht="26.25" x14ac:dyDescent="0.25"/>
    <row r="13" spans="1:9" s="9" customFormat="1" ht="26.25" x14ac:dyDescent="0.25"/>
    <row r="14" spans="1:9" s="11" customFormat="1" ht="26.25" x14ac:dyDescent="0.4"/>
    <row r="15" spans="1:9" s="11" customFormat="1" ht="26.25" x14ac:dyDescent="0.4"/>
  </sheetData>
  <mergeCells count="2">
    <mergeCell ref="A1:F1"/>
    <mergeCell ref="E2:F2"/>
  </mergeCells>
  <pageMargins left="0" right="0" top="0" bottom="0" header="0.31496062992125984" footer="0.31496062992125984"/>
  <pageSetup paperSize="9" scale="68" fitToWidth="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D5319-36A9-49F8-9241-FE3F878C1E8F}">
  <sheetPr>
    <pageSetUpPr fitToPage="1"/>
  </sheetPr>
  <dimension ref="A1:N15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7" sqref="S7"/>
    </sheetView>
  </sheetViews>
  <sheetFormatPr defaultColWidth="19.5703125" defaultRowHeight="30" x14ac:dyDescent="0.4"/>
  <cols>
    <col min="1" max="1" width="27" style="1" customWidth="1"/>
    <col min="2" max="2" width="17" style="1" customWidth="1"/>
    <col min="3" max="3" width="18.140625" style="1" customWidth="1"/>
    <col min="4" max="4" width="16" style="1" customWidth="1"/>
    <col min="5" max="5" width="14.5703125" style="1" customWidth="1"/>
    <col min="6" max="6" width="13.85546875" style="1" customWidth="1"/>
    <col min="7" max="7" width="14.42578125" style="1" customWidth="1"/>
    <col min="8" max="8" width="16.28515625" style="1" customWidth="1"/>
    <col min="9" max="9" width="12" style="1" customWidth="1"/>
    <col min="10" max="10" width="14.85546875" style="1" customWidth="1"/>
    <col min="11" max="11" width="13.85546875" style="1" customWidth="1"/>
    <col min="12" max="12" width="11.140625" style="1" customWidth="1"/>
    <col min="13" max="13" width="11.5703125" style="1" customWidth="1"/>
    <col min="14" max="14" width="11.85546875" style="1" customWidth="1"/>
    <col min="15" max="15" width="19.5703125" style="1"/>
    <col min="16" max="16" width="19.28515625" style="1" customWidth="1"/>
    <col min="17" max="16384" width="19.5703125" style="1"/>
  </cols>
  <sheetData>
    <row r="1" spans="1:14" ht="58.5" customHeight="1" x14ac:dyDescent="0.4">
      <c r="A1" s="135" t="s">
        <v>63</v>
      </c>
      <c r="B1" s="135"/>
      <c r="C1" s="135"/>
      <c r="D1" s="135"/>
      <c r="E1" s="135"/>
      <c r="F1" s="135"/>
      <c r="G1" s="135"/>
      <c r="H1" s="135"/>
    </row>
    <row r="2" spans="1:14" ht="41.25" customHeight="1" x14ac:dyDescent="0.4">
      <c r="A2" s="78"/>
      <c r="B2" s="78"/>
      <c r="C2" s="78"/>
      <c r="D2" s="78"/>
      <c r="E2" s="78"/>
      <c r="F2" s="78"/>
      <c r="G2" s="136" t="s">
        <v>65</v>
      </c>
      <c r="H2" s="138"/>
    </row>
    <row r="3" spans="1:14" s="4" customFormat="1" ht="275.25" customHeight="1" x14ac:dyDescent="0.25">
      <c r="A3" s="36" t="s">
        <v>0</v>
      </c>
      <c r="B3" s="36" t="s">
        <v>27</v>
      </c>
      <c r="C3" s="37" t="s">
        <v>52</v>
      </c>
      <c r="D3" s="101" t="s">
        <v>70</v>
      </c>
      <c r="E3" s="99" t="s">
        <v>69</v>
      </c>
      <c r="F3" s="99" t="s">
        <v>71</v>
      </c>
      <c r="G3" s="85" t="s">
        <v>58</v>
      </c>
      <c r="H3" s="86" t="s">
        <v>29</v>
      </c>
      <c r="I3" s="91" t="s">
        <v>67</v>
      </c>
      <c r="J3" s="98" t="s">
        <v>72</v>
      </c>
      <c r="K3" s="127" t="s">
        <v>75</v>
      </c>
      <c r="L3" s="36" t="s">
        <v>73</v>
      </c>
      <c r="M3" s="36" t="s">
        <v>74</v>
      </c>
      <c r="N3" s="91" t="s">
        <v>77</v>
      </c>
    </row>
    <row r="4" spans="1:14" s="6" customFormat="1" ht="30.75" x14ac:dyDescent="0.25">
      <c r="A4" s="39">
        <v>1</v>
      </c>
      <c r="B4" s="39">
        <v>2</v>
      </c>
      <c r="C4" s="39">
        <v>3</v>
      </c>
      <c r="D4" s="102">
        <v>4</v>
      </c>
      <c r="E4" s="100"/>
      <c r="F4" s="100"/>
      <c r="G4" s="40">
        <v>5</v>
      </c>
      <c r="H4" s="39">
        <v>6</v>
      </c>
      <c r="I4" s="5">
        <v>7</v>
      </c>
      <c r="J4" s="94"/>
      <c r="K4" s="5"/>
      <c r="L4" s="5"/>
      <c r="M4" s="5"/>
      <c r="N4" s="5"/>
    </row>
    <row r="5" spans="1:14" s="7" customFormat="1" ht="61.5" customHeight="1" x14ac:dyDescent="0.3">
      <c r="A5" s="41" t="s">
        <v>21</v>
      </c>
      <c r="B5" s="104">
        <v>23162.06</v>
      </c>
      <c r="C5" s="105">
        <v>2684.991</v>
      </c>
      <c r="D5" s="106">
        <v>0</v>
      </c>
      <c r="E5" s="107"/>
      <c r="F5" s="107"/>
      <c r="G5" s="108"/>
      <c r="H5" s="109">
        <f>B5+C5+D5+G5</f>
        <v>25847.050999999999</v>
      </c>
      <c r="I5" s="110">
        <v>3500</v>
      </c>
      <c r="J5" s="111">
        <v>3500</v>
      </c>
      <c r="K5" s="125"/>
      <c r="L5" s="125"/>
      <c r="M5" s="125"/>
      <c r="N5" s="92"/>
    </row>
    <row r="6" spans="1:14" s="7" customFormat="1" ht="61.5" customHeight="1" x14ac:dyDescent="0.3">
      <c r="A6" s="41" t="s">
        <v>22</v>
      </c>
      <c r="B6" s="104">
        <v>844.4</v>
      </c>
      <c r="C6" s="105">
        <v>560.72400000000005</v>
      </c>
      <c r="D6" s="112">
        <v>3398.1</v>
      </c>
      <c r="E6" s="113">
        <v>2569.5</v>
      </c>
      <c r="F6" s="113">
        <f>D6-E6</f>
        <v>828.59999999999991</v>
      </c>
      <c r="G6" s="114">
        <v>240</v>
      </c>
      <c r="H6" s="109">
        <f>B6+C6+D6+G6</f>
        <v>5043.2240000000002</v>
      </c>
      <c r="I6" s="110">
        <v>1800</v>
      </c>
      <c r="J6" s="111">
        <v>1500</v>
      </c>
      <c r="K6" s="130"/>
      <c r="L6" s="125"/>
      <c r="M6" s="125"/>
      <c r="N6" s="92"/>
    </row>
    <row r="7" spans="1:14" s="7" customFormat="1" ht="78.75" customHeight="1" x14ac:dyDescent="0.3">
      <c r="A7" s="41" t="s">
        <v>23</v>
      </c>
      <c r="B7" s="104">
        <v>897.5</v>
      </c>
      <c r="C7" s="105">
        <v>462.15</v>
      </c>
      <c r="D7" s="112">
        <v>1904.2</v>
      </c>
      <c r="E7" s="113">
        <v>1742.4</v>
      </c>
      <c r="F7" s="113">
        <f t="shared" ref="F7:F11" si="0">D7-E7</f>
        <v>161.79999999999995</v>
      </c>
      <c r="G7" s="114">
        <v>230</v>
      </c>
      <c r="H7" s="109">
        <f t="shared" ref="H7:H10" si="1">B7+C7+D7+G7</f>
        <v>3493.8500000000004</v>
      </c>
      <c r="I7" s="110">
        <v>1100</v>
      </c>
      <c r="J7" s="111">
        <v>1100</v>
      </c>
      <c r="K7" s="125"/>
      <c r="L7" s="125"/>
      <c r="M7" s="125"/>
      <c r="N7" s="92"/>
    </row>
    <row r="8" spans="1:14" s="7" customFormat="1" ht="69.75" customHeight="1" x14ac:dyDescent="0.3">
      <c r="A8" s="41" t="s">
        <v>24</v>
      </c>
      <c r="B8" s="104">
        <v>695.5</v>
      </c>
      <c r="C8" s="105">
        <v>389.17899999999997</v>
      </c>
      <c r="D8" s="112">
        <v>2032.8</v>
      </c>
      <c r="E8" s="113">
        <v>1869.7</v>
      </c>
      <c r="F8" s="113">
        <f t="shared" si="0"/>
        <v>163.09999999999991</v>
      </c>
      <c r="G8" s="114">
        <v>380</v>
      </c>
      <c r="H8" s="109">
        <f t="shared" si="1"/>
        <v>3497.4790000000003</v>
      </c>
      <c r="I8" s="110">
        <v>700</v>
      </c>
      <c r="J8" s="111">
        <v>600</v>
      </c>
      <c r="K8" s="125"/>
      <c r="L8" s="125"/>
      <c r="M8" s="125"/>
      <c r="N8" s="92"/>
    </row>
    <row r="9" spans="1:14" s="7" customFormat="1" ht="69" customHeight="1" x14ac:dyDescent="0.3">
      <c r="A9" s="103" t="s">
        <v>25</v>
      </c>
      <c r="B9" s="115">
        <f>638.1+6000-6000+1000-1000</f>
        <v>638.10000000000036</v>
      </c>
      <c r="C9" s="116">
        <v>418.62299999999999</v>
      </c>
      <c r="D9" s="117">
        <v>845.6</v>
      </c>
      <c r="E9" s="118">
        <v>2223.3000000000002</v>
      </c>
      <c r="F9" s="118">
        <f>D9-E9</f>
        <v>-1377.7000000000003</v>
      </c>
      <c r="G9" s="119">
        <v>272</v>
      </c>
      <c r="H9" s="109">
        <f t="shared" si="1"/>
        <v>2174.3230000000003</v>
      </c>
      <c r="I9" s="120">
        <v>600</v>
      </c>
      <c r="J9" s="121">
        <v>1000</v>
      </c>
      <c r="K9" s="120">
        <f>1377.7+400</f>
        <v>1777.7</v>
      </c>
      <c r="L9" s="120">
        <f>617+300</f>
        <v>917</v>
      </c>
      <c r="M9" s="120">
        <f>5954.1-1777.7-917</f>
        <v>3259.4000000000005</v>
      </c>
      <c r="N9" s="92" t="s">
        <v>76</v>
      </c>
    </row>
    <row r="10" spans="1:14" s="7" customFormat="1" ht="63" customHeight="1" x14ac:dyDescent="0.3">
      <c r="A10" s="41" t="s">
        <v>26</v>
      </c>
      <c r="B10" s="104">
        <v>1349.4</v>
      </c>
      <c r="C10" s="105">
        <v>631.98800000000006</v>
      </c>
      <c r="D10" s="112">
        <v>2819.3</v>
      </c>
      <c r="E10" s="113">
        <v>2595.1</v>
      </c>
      <c r="F10" s="113">
        <f t="shared" si="0"/>
        <v>224.20000000000027</v>
      </c>
      <c r="G10" s="114">
        <v>450</v>
      </c>
      <c r="H10" s="109">
        <f t="shared" si="1"/>
        <v>5250.6880000000001</v>
      </c>
      <c r="I10" s="110">
        <v>1300</v>
      </c>
      <c r="J10" s="111">
        <v>1300</v>
      </c>
      <c r="K10" s="129"/>
      <c r="L10" s="125"/>
      <c r="M10" s="125"/>
      <c r="N10" s="92"/>
    </row>
    <row r="11" spans="1:14" s="21" customFormat="1" ht="51.75" customHeight="1" x14ac:dyDescent="0.4">
      <c r="A11" s="88" t="s">
        <v>19</v>
      </c>
      <c r="B11" s="122">
        <f>B5+B6+B7+B8+B9+B10</f>
        <v>27586.960000000006</v>
      </c>
      <c r="C11" s="122">
        <f t="shared" ref="C11:J11" si="2">C5+C6+C7+C8+C9+C10</f>
        <v>5147.6549999999997</v>
      </c>
      <c r="D11" s="117">
        <f t="shared" si="2"/>
        <v>11000</v>
      </c>
      <c r="E11" s="118">
        <f>SUM(E6:E10)</f>
        <v>11000</v>
      </c>
      <c r="F11" s="113">
        <f t="shared" si="0"/>
        <v>0</v>
      </c>
      <c r="G11" s="123">
        <f t="shared" si="2"/>
        <v>1572</v>
      </c>
      <c r="H11" s="122">
        <f t="shared" si="2"/>
        <v>45306.614999999998</v>
      </c>
      <c r="I11" s="122">
        <f t="shared" si="2"/>
        <v>9000</v>
      </c>
      <c r="J11" s="124">
        <f t="shared" si="2"/>
        <v>9000</v>
      </c>
      <c r="K11" s="126"/>
      <c r="L11" s="126"/>
      <c r="M11" s="126"/>
      <c r="N11" s="128"/>
    </row>
    <row r="12" spans="1:14" s="9" customFormat="1" ht="26.25" x14ac:dyDescent="0.25"/>
    <row r="13" spans="1:14" s="9" customFormat="1" ht="26.25" x14ac:dyDescent="0.25"/>
    <row r="14" spans="1:14" s="11" customFormat="1" ht="26.25" x14ac:dyDescent="0.4"/>
    <row r="15" spans="1:14" s="11" customFormat="1" ht="26.25" x14ac:dyDescent="0.4"/>
  </sheetData>
  <mergeCells count="2">
    <mergeCell ref="A1:H1"/>
    <mergeCell ref="G2:H2"/>
  </mergeCells>
  <pageMargins left="0" right="0" top="0" bottom="0" header="0.31496062992125984" footer="0.31496062992125984"/>
  <pageSetup paperSize="9" scale="68" fitToWidth="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вариант</vt:lpstr>
      <vt:lpstr>Содержание дорог</vt:lpstr>
      <vt:lpstr>Доходы всего</vt:lpstr>
      <vt:lpstr>Доходы всего (2)</vt:lpstr>
      <vt:lpstr>'1 вариант'!Заголовки_для_печати</vt:lpstr>
      <vt:lpstr>'Содержание дорог'!Заголовки_для_печати</vt:lpstr>
    </vt:vector>
  </TitlesOfParts>
  <Company>МинФин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Shteinke_AK</cp:lastModifiedBy>
  <cp:lastPrinted>2022-12-12T14:31:06Z</cp:lastPrinted>
  <dcterms:created xsi:type="dcterms:W3CDTF">2011-06-06T14:53:40Z</dcterms:created>
  <dcterms:modified xsi:type="dcterms:W3CDTF">2023-02-21T12:51:30Z</dcterms:modified>
</cp:coreProperties>
</file>