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пия ПК Подсевалова\Нач.фин. Подсевалова С.И\Бюджет\2024г\Формирование бюджета\"/>
    </mc:Choice>
  </mc:AlternateContent>
  <xr:revisionPtr revIDLastSave="0" documentId="13_ncr:1_{15B7A053-DEAD-4CBC-B447-F8CAC5E816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 вариант" sheetId="4" r:id="rId1"/>
    <sheet name="Доходы всего" sheetId="18" r:id="rId2"/>
  </sheets>
  <definedNames>
    <definedName name="_xlnm.Print_Titles" localSheetId="0">'1 вариант'!$A:$A</definedName>
    <definedName name="_xlnm.Print_Titles" localSheetId="1">'Доходы всего'!$A:$A</definedName>
  </definedNames>
  <calcPr calcId="191029" refMode="R1C1"/>
</workbook>
</file>

<file path=xl/calcChain.xml><?xml version="1.0" encoding="utf-8"?>
<calcChain xmlns="http://schemas.openxmlformats.org/spreadsheetml/2006/main">
  <c r="X5" i="18" l="1"/>
  <c r="X6" i="18"/>
  <c r="X7" i="18"/>
  <c r="X8" i="18"/>
  <c r="X9" i="18"/>
  <c r="X4" i="18"/>
  <c r="W10" i="18"/>
  <c r="N5" i="4"/>
  <c r="L5" i="4"/>
  <c r="M5" i="4" s="1"/>
  <c r="O10" i="18"/>
  <c r="H10" i="18" l="1"/>
  <c r="C10" i="18"/>
  <c r="B10" i="18"/>
  <c r="D9" i="18"/>
  <c r="D8" i="18"/>
  <c r="D7" i="18"/>
  <c r="D6" i="18"/>
  <c r="D5" i="18"/>
  <c r="M4" i="18"/>
  <c r="K4" i="18"/>
  <c r="D4" i="18"/>
  <c r="D10" i="18" l="1"/>
  <c r="E5" i="18" s="1"/>
  <c r="G5" i="18" s="1"/>
  <c r="I5" i="18" s="1"/>
  <c r="H29" i="4"/>
  <c r="E10" i="18" l="1"/>
  <c r="G10" i="18" s="1"/>
  <c r="E8" i="18"/>
  <c r="G8" i="18" s="1"/>
  <c r="I8" i="18" s="1"/>
  <c r="K8" i="18" s="1"/>
  <c r="E4" i="18"/>
  <c r="G4" i="18" s="1"/>
  <c r="E9" i="18"/>
  <c r="G9" i="18" s="1"/>
  <c r="I9" i="18" s="1"/>
  <c r="E6" i="18"/>
  <c r="G6" i="18" s="1"/>
  <c r="I6" i="18" s="1"/>
  <c r="K6" i="18" s="1"/>
  <c r="E7" i="18"/>
  <c r="G7" i="18" s="1"/>
  <c r="I7" i="18" s="1"/>
  <c r="K7" i="18" s="1"/>
  <c r="K5" i="18"/>
  <c r="K9" i="18" l="1"/>
  <c r="K10" i="18" s="1"/>
  <c r="I10" i="18"/>
  <c r="B29" i="4" l="1"/>
  <c r="O29" i="4" l="1"/>
  <c r="C29" i="4" l="1"/>
  <c r="D29" i="4" s="1"/>
  <c r="D10" i="4"/>
  <c r="D9" i="4"/>
  <c r="D8" i="4"/>
  <c r="D7" i="4"/>
  <c r="D6" i="4"/>
  <c r="D5" i="4"/>
  <c r="E29" i="4" l="1"/>
  <c r="G29" i="4" s="1"/>
  <c r="E5" i="4"/>
  <c r="E7" i="4"/>
  <c r="E9" i="4"/>
  <c r="E10" i="4"/>
  <c r="E8" i="4"/>
  <c r="G8" i="4" s="1"/>
  <c r="E6" i="4"/>
  <c r="G9" i="4" l="1"/>
  <c r="I9" i="4" s="1"/>
  <c r="G7" i="4"/>
  <c r="I7" i="4" s="1"/>
  <c r="G6" i="4"/>
  <c r="I6" i="4" s="1"/>
  <c r="G10" i="4"/>
  <c r="I10" i="4" s="1"/>
  <c r="G5" i="4"/>
  <c r="K27" i="4" l="1"/>
  <c r="L27" i="4" l="1"/>
  <c r="K26" i="4"/>
  <c r="K15" i="4"/>
  <c r="L15" i="4" s="1"/>
  <c r="K17" i="4"/>
  <c r="K19" i="4"/>
  <c r="I8" i="4"/>
  <c r="K8" i="4" s="1"/>
  <c r="K6" i="4"/>
  <c r="L6" i="4" s="1"/>
  <c r="K22" i="4"/>
  <c r="K7" i="4"/>
  <c r="K10" i="4"/>
  <c r="K25" i="4"/>
  <c r="K20" i="4"/>
  <c r="K13" i="4"/>
  <c r="K23" i="4"/>
  <c r="K18" i="4"/>
  <c r="K24" i="4"/>
  <c r="K16" i="4"/>
  <c r="K9" i="4"/>
  <c r="L9" i="4" s="1"/>
  <c r="K21" i="4"/>
  <c r="K14" i="4"/>
  <c r="M6" i="4" l="1"/>
  <c r="L8" i="4"/>
  <c r="M8" i="4" s="1"/>
  <c r="L7" i="4"/>
  <c r="M7" i="4" s="1"/>
  <c r="Q10" i="4"/>
  <c r="L10" i="4"/>
  <c r="M10" i="4" s="1"/>
  <c r="Q9" i="4"/>
  <c r="M9" i="4"/>
  <c r="L26" i="4"/>
  <c r="L17" i="4"/>
  <c r="K5" i="4"/>
  <c r="Q5" i="4" s="1"/>
  <c r="L21" i="4"/>
  <c r="L16" i="4"/>
  <c r="L23" i="4"/>
  <c r="L20" i="4"/>
  <c r="L22" i="4"/>
  <c r="L19" i="4"/>
  <c r="L13" i="4"/>
  <c r="Q7" i="4"/>
  <c r="Q6" i="4"/>
  <c r="Q8" i="4"/>
  <c r="L25" i="4"/>
  <c r="L14" i="4"/>
  <c r="L24" i="4"/>
  <c r="L18" i="4"/>
  <c r="I29" i="4"/>
  <c r="L29" i="4" l="1"/>
  <c r="M29" i="4" s="1"/>
  <c r="K29" i="4"/>
  <c r="N29" i="4" l="1"/>
  <c r="N9" i="4"/>
  <c r="N8" i="4"/>
  <c r="N10" i="4"/>
  <c r="N6" i="4"/>
  <c r="N7" i="4"/>
  <c r="P29" i="4"/>
  <c r="Q29" i="4" s="1"/>
  <c r="S6" i="4" l="1"/>
  <c r="S8" i="4"/>
  <c r="S9" i="4"/>
  <c r="S10" i="4"/>
  <c r="S29" i="4" l="1"/>
  <c r="U6" i="4" s="1"/>
  <c r="U9" i="4" l="1"/>
  <c r="V9" i="4" s="1"/>
  <c r="U10" i="4"/>
  <c r="V10" i="4" s="1"/>
  <c r="U7" i="4"/>
  <c r="V7" i="4" s="1"/>
  <c r="U5" i="4"/>
  <c r="V5" i="4" s="1"/>
  <c r="V6" i="4"/>
  <c r="U8" i="4"/>
  <c r="V8" i="4" s="1"/>
  <c r="W9" i="4" l="1"/>
  <c r="W8" i="4"/>
  <c r="W7" i="4"/>
  <c r="W10" i="4"/>
  <c r="W6" i="4"/>
  <c r="V29" i="4"/>
  <c r="U29" i="4"/>
  <c r="W29" i="4" l="1"/>
  <c r="Q7" i="18"/>
  <c r="Q6" i="18"/>
  <c r="Q8" i="18"/>
  <c r="Q9" i="18"/>
  <c r="Q4" i="18"/>
  <c r="Q5" i="18"/>
  <c r="L8" i="18"/>
  <c r="M8" i="18" s="1"/>
  <c r="L9" i="18"/>
  <c r="M9" i="18" s="1"/>
  <c r="P10" i="18"/>
  <c r="L7" i="18"/>
  <c r="M7" i="18" s="1"/>
  <c r="L5" i="18"/>
  <c r="M5" i="18" s="1"/>
  <c r="L6" i="18"/>
  <c r="L10" i="18" l="1"/>
  <c r="M10" i="18" s="1"/>
  <c r="N7" i="18" s="1"/>
  <c r="M6" i="18"/>
  <c r="Q10" i="18"/>
  <c r="N5" i="18" l="1"/>
  <c r="N9" i="18"/>
  <c r="N4" i="18"/>
  <c r="N6" i="18"/>
  <c r="N8" i="18"/>
  <c r="V10" i="18" l="1"/>
  <c r="X10" i="18" s="1"/>
</calcChain>
</file>

<file path=xl/sharedStrings.xml><?xml version="1.0" encoding="utf-8"?>
<sst xmlns="http://schemas.openxmlformats.org/spreadsheetml/2006/main" count="101" uniqueCount="65">
  <si>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</si>
  <si>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</si>
  <si>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</si>
  <si>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</si>
  <si>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</si>
  <si>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</si>
  <si>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</si>
  <si>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Численность населения на 01.01.12 (тыс.чел.)</t>
  </si>
  <si>
    <t>Индекс налогового потенциала  (гр.4/гр.4общ)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</si>
  <si>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</si>
  <si>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</si>
  <si>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</si>
  <si>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</si>
  <si>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</si>
  <si>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</si>
  <si>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</si>
  <si>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</si>
  <si>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</si>
  <si>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</si>
  <si>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</si>
  <si>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</si>
  <si>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Прогноз налоговых и неналоговых доходов поселений в очередном финансовом году (тыс.руб.)</t>
  </si>
  <si>
    <t>Павловское городское посел</t>
  </si>
  <si>
    <t>Шаховское сельское посел</t>
  </si>
  <si>
    <t>Баклушинское сельское посел</t>
  </si>
  <si>
    <t>Шмалакское сельское посел</t>
  </si>
  <si>
    <t>Пичеурское  сельское посел</t>
  </si>
  <si>
    <t>Холстовское сельское посел</t>
  </si>
  <si>
    <t>Прогноз налоговых и неналоговых доходов поселения</t>
  </si>
  <si>
    <t>Степень сокращения отставания  П=0,7</t>
  </si>
  <si>
    <t>Итого доходов</t>
  </si>
  <si>
    <t>Численность населения на 01.01.18 (тыс.чел.)</t>
  </si>
  <si>
    <r>
      <t xml:space="preserve">Второй критерий выравнивания </t>
    </r>
    <r>
      <rPr>
        <b/>
        <sz val="18"/>
        <color rgb="FFFF0000"/>
        <rFont val="Times New Roman"/>
        <family val="1"/>
        <charset val="204"/>
      </rPr>
      <t>(У2=0,82)</t>
    </r>
  </si>
  <si>
    <t>с</t>
  </si>
  <si>
    <t>d</t>
  </si>
  <si>
    <t>E</t>
  </si>
  <si>
    <t>F</t>
  </si>
  <si>
    <t>G</t>
  </si>
  <si>
    <t>H</t>
  </si>
  <si>
    <t>I</t>
  </si>
  <si>
    <t>J              K</t>
  </si>
  <si>
    <t>L</t>
  </si>
  <si>
    <t>M</t>
  </si>
  <si>
    <t>N</t>
  </si>
  <si>
    <t>O</t>
  </si>
  <si>
    <t>P</t>
  </si>
  <si>
    <t>Q</t>
  </si>
  <si>
    <t>R</t>
  </si>
  <si>
    <t>S                  T</t>
  </si>
  <si>
    <t>U</t>
  </si>
  <si>
    <t>V</t>
  </si>
  <si>
    <t>W</t>
  </si>
  <si>
    <t>B</t>
  </si>
  <si>
    <t>A</t>
  </si>
  <si>
    <t xml:space="preserve">Прогноз налоговых и неналоговых доходов поселения </t>
  </si>
  <si>
    <t xml:space="preserve">Дотация за счёт субвенции по расчёту и представлению дотаций поселениям </t>
  </si>
  <si>
    <t>Дотация на выравнивание бюджетной обеспеченности</t>
  </si>
  <si>
    <t>Степень сокращения отставания  П=0,9</t>
  </si>
  <si>
    <t>Начальник Управления финансов администрации МО "Павловский район"</t>
  </si>
  <si>
    <t>Налоговый потенциал на душу населения после распределения 1 части (тыс.р.) гр.12/гр.2</t>
  </si>
  <si>
    <r>
      <t xml:space="preserve">Второй критерий выравнивания </t>
    </r>
    <r>
      <rPr>
        <b/>
        <sz val="26"/>
        <color rgb="FFFF0000"/>
        <rFont val="Times New Roman"/>
        <family val="1"/>
        <charset val="204"/>
      </rPr>
      <t>(У2= 0,8</t>
    </r>
  </si>
  <si>
    <t>Содержание дорог</t>
  </si>
  <si>
    <t xml:space="preserve">Расчёт  общей суммы доходов  бюджетов поселений  на 2024 год </t>
  </si>
  <si>
    <t xml:space="preserve">Расчёт дотации на выравнивание бюджетной обеспеченности на 2024 год  </t>
  </si>
  <si>
    <t>Подсевалова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</si>
</sst>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#,##0.0"/>
    <numFmt numFmtId="167" formatCode="#,##0.000"/>
    <numFmt numFmtId="168" formatCode="0.0000"/>
  </numFmts>
  <fonts count="21" x14ac:knownFonts="1">
    <font>
      <sz val="11"/>
      <color theme="1"/>
      <name val="Calibri"/>
      <family val="2"/>
      <charset val="204"/>
      <scheme val="minor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 CYR"/>
      <family val="1"/>
      <charset val="204"/>
    </font>
    <font>
      <sz val="26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36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right" vertical="justify" wrapText="1"/>
    </xf>
    <xf numFmtId="0" fontId="5" fillId="0" borderId="1" xfId="0" applyFont="1" applyBorder="1" applyAlignment="1">
      <alignment horizontal="left" vertical="justify" wrapText="1"/>
    </xf>
    <xf numFmtId="0" fontId="4" fillId="0" borderId="0" xfId="0" applyFont="1" applyAlignment="1">
      <alignment vertical="justify" wrapText="1"/>
    </xf>
    <xf numFmtId="165" fontId="4" fillId="0" borderId="0" xfId="0" applyNumberFormat="1" applyFont="1" applyAlignment="1">
      <alignment vertical="justify" wrapText="1"/>
    </xf>
    <xf numFmtId="0" fontId="4" fillId="0" borderId="0" xfId="0" applyFont="1"/>
    <xf numFmtId="165" fontId="4" fillId="0" borderId="0" xfId="0" applyNumberFormat="1" applyFont="1"/>
    <xf numFmtId="166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 vertical="justify" wrapText="1"/>
    </xf>
    <xf numFmtId="0" fontId="1" fillId="0" borderId="0" xfId="0" applyFont="1"/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justify"/>
    </xf>
    <xf numFmtId="166" fontId="4" fillId="4" borderId="1" xfId="0" applyNumberFormat="1" applyFont="1" applyFill="1" applyBorder="1" applyAlignment="1">
      <alignment horizontal="right" wrapText="1"/>
    </xf>
    <xf numFmtId="166" fontId="4" fillId="0" borderId="0" xfId="0" applyNumberFormat="1" applyFont="1"/>
    <xf numFmtId="0" fontId="10" fillId="4" borderId="1" xfId="0" applyFont="1" applyFill="1" applyBorder="1" applyAlignment="1">
      <alignment horizontal="center"/>
    </xf>
    <xf numFmtId="166" fontId="4" fillId="0" borderId="0" xfId="0" applyNumberFormat="1" applyFont="1" applyAlignment="1">
      <alignment horizontal="right" vertical="justify" wrapText="1"/>
    </xf>
    <xf numFmtId="166" fontId="5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justify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vertical="justify" wrapText="1"/>
    </xf>
    <xf numFmtId="0" fontId="4" fillId="4" borderId="1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3" fillId="6" borderId="1" xfId="0" applyFont="1" applyFill="1" applyBorder="1" applyAlignment="1">
      <alignment horizontal="center" vertical="justify" wrapText="1"/>
    </xf>
    <xf numFmtId="0" fontId="16" fillId="4" borderId="1" xfId="0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justify"/>
    </xf>
    <xf numFmtId="164" fontId="16" fillId="5" borderId="1" xfId="0" applyNumberFormat="1" applyFont="1" applyFill="1" applyBorder="1"/>
    <xf numFmtId="166" fontId="13" fillId="0" borderId="1" xfId="0" applyNumberFormat="1" applyFont="1" applyBorder="1" applyAlignment="1">
      <alignment horizontal="right" wrapText="1"/>
    </xf>
    <xf numFmtId="165" fontId="13" fillId="0" borderId="1" xfId="0" applyNumberFormat="1" applyFont="1" applyBorder="1" applyAlignment="1">
      <alignment horizontal="right" wrapText="1"/>
    </xf>
    <xf numFmtId="165" fontId="13" fillId="2" borderId="1" xfId="0" applyNumberFormat="1" applyFont="1" applyFill="1" applyBorder="1" applyAlignment="1">
      <alignment horizontal="right" wrapText="1"/>
    </xf>
    <xf numFmtId="166" fontId="13" fillId="4" borderId="1" xfId="0" applyNumberFormat="1" applyFont="1" applyFill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6" fontId="13" fillId="6" borderId="1" xfId="0" applyNumberFormat="1" applyFont="1" applyFill="1" applyBorder="1" applyAlignment="1">
      <alignment horizontal="right" wrapText="1"/>
    </xf>
    <xf numFmtId="166" fontId="13" fillId="6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right" wrapText="1"/>
    </xf>
    <xf numFmtId="166" fontId="17" fillId="4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4" fillId="0" borderId="0" xfId="0" applyNumberFormat="1" applyFont="1" applyAlignment="1">
      <alignment horizontal="right" vertical="justify" wrapText="1"/>
    </xf>
    <xf numFmtId="4" fontId="5" fillId="0" borderId="0" xfId="0" applyNumberFormat="1" applyFont="1" applyAlignment="1">
      <alignment horizontal="right" vertical="justify" wrapText="1"/>
    </xf>
    <xf numFmtId="166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165" fontId="4" fillId="4" borderId="1" xfId="0" applyNumberFormat="1" applyFont="1" applyFill="1" applyBorder="1" applyAlignment="1">
      <alignment horizontal="right" wrapText="1"/>
    </xf>
    <xf numFmtId="165" fontId="5" fillId="4" borderId="1" xfId="0" applyNumberFormat="1" applyFont="1" applyFill="1" applyBorder="1" applyAlignment="1">
      <alignment horizontal="right" wrapText="1"/>
    </xf>
    <xf numFmtId="166" fontId="16" fillId="4" borderId="1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/>
    <xf numFmtId="166" fontId="2" fillId="0" borderId="0" xfId="0" applyNumberFormat="1" applyFont="1"/>
    <xf numFmtId="165" fontId="5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left" vertical="justify" wrapText="1"/>
    </xf>
    <xf numFmtId="0" fontId="19" fillId="0" borderId="1" xfId="0" applyFont="1" applyBorder="1" applyAlignment="1">
      <alignment horizontal="right" wrapText="1"/>
    </xf>
    <xf numFmtId="166" fontId="19" fillId="0" borderId="1" xfId="0" applyNumberFormat="1" applyFont="1" applyBorder="1" applyAlignment="1">
      <alignment horizontal="right" wrapText="1"/>
    </xf>
    <xf numFmtId="165" fontId="19" fillId="0" borderId="1" xfId="0" applyNumberFormat="1" applyFont="1" applyBorder="1" applyAlignment="1">
      <alignment horizontal="right" wrapText="1"/>
    </xf>
    <xf numFmtId="167" fontId="19" fillId="0" borderId="1" xfId="0" applyNumberFormat="1" applyFont="1" applyBorder="1" applyAlignment="1">
      <alignment horizontal="right" wrapText="1"/>
    </xf>
    <xf numFmtId="166" fontId="19" fillId="4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Border="1" applyAlignment="1">
      <alignment horizontal="right" wrapText="1"/>
    </xf>
    <xf numFmtId="168" fontId="19" fillId="2" borderId="1" xfId="0" applyNumberFormat="1" applyFont="1" applyFill="1" applyBorder="1" applyAlignment="1">
      <alignment horizontal="right" wrapText="1"/>
    </xf>
    <xf numFmtId="166" fontId="19" fillId="3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165" fontId="3" fillId="4" borderId="1" xfId="0" applyNumberFormat="1" applyFont="1" applyFill="1" applyBorder="1"/>
    <xf numFmtId="165" fontId="20" fillId="4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right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justify" wrapText="1"/>
    </xf>
    <xf numFmtId="166" fontId="4" fillId="7" borderId="1" xfId="0" applyNumberFormat="1" applyFont="1" applyFill="1" applyBorder="1" applyAlignment="1">
      <alignment horizontal="right" wrapText="1"/>
    </xf>
    <xf numFmtId="164" fontId="4" fillId="7" borderId="1" xfId="0" applyNumberFormat="1" applyFont="1" applyFill="1" applyBorder="1" applyAlignment="1">
      <alignment horizontal="right" wrapText="1"/>
    </xf>
    <xf numFmtId="166" fontId="19" fillId="7" borderId="1" xfId="0" applyNumberFormat="1" applyFont="1" applyFill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9" fillId="4" borderId="1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2"/>
  <sheetViews>
    <sheetView zoomScale="44" zoomScaleNormal="44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Y6" sqref="Y6:AG12"/>
    </sheetView>
  </sheetViews>
  <sheetFormatPr defaultColWidth="19.5703125" defaultRowHeight="30" x14ac:dyDescent="0.4"/>
  <cols>
    <col min="1" max="1" width="35.5703125" style="1" customWidth="1"/>
    <col min="2" max="2" width="18.5703125" style="1" customWidth="1"/>
    <col min="3" max="3" width="23.42578125" style="1" customWidth="1"/>
    <col min="4" max="4" width="19.28515625" style="1" customWidth="1"/>
    <col min="5" max="5" width="19.5703125" style="1" customWidth="1"/>
    <col min="6" max="6" width="20.85546875" style="1" customWidth="1"/>
    <col min="7" max="7" width="21" style="1" customWidth="1"/>
    <col min="8" max="8" width="15.28515625" style="1" customWidth="1"/>
    <col min="9" max="9" width="18.5703125" style="1" customWidth="1"/>
    <col min="10" max="10" width="11" style="1" customWidth="1"/>
    <col min="11" max="11" width="18.42578125" style="1" customWidth="1"/>
    <col min="12" max="12" width="20" style="1" customWidth="1"/>
    <col min="13" max="13" width="13.42578125" style="1" customWidth="1"/>
    <col min="14" max="14" width="17.85546875" style="1" customWidth="1"/>
    <col min="15" max="15" width="17.42578125" style="1" customWidth="1"/>
    <col min="16" max="16" width="27.140625" style="1" customWidth="1"/>
    <col min="17" max="17" width="23.5703125" style="1" customWidth="1"/>
    <col min="18" max="18" width="16.5703125" style="1" customWidth="1"/>
    <col min="19" max="19" width="20.85546875" style="1" customWidth="1"/>
    <col min="20" max="20" width="17" style="1" customWidth="1"/>
    <col min="21" max="21" width="19.5703125" style="1" customWidth="1"/>
    <col min="22" max="22" width="20.42578125" style="1" customWidth="1"/>
    <col min="23" max="23" width="22.140625" style="1" customWidth="1"/>
    <col min="24" max="16384" width="19.5703125" style="1"/>
  </cols>
  <sheetData>
    <row r="1" spans="1:35" ht="27" customHeight="1" x14ac:dyDescent="0.4">
      <c r="B1" s="22" t="s">
        <v>63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35" s="2" customFormat="1" ht="0.75" hidden="1" customHeight="1" x14ac:dyDescent="0.6">
      <c r="A2" s="58" t="s">
        <v>53</v>
      </c>
      <c r="B2" s="58" t="s">
        <v>52</v>
      </c>
      <c r="C2" s="58" t="s">
        <v>33</v>
      </c>
      <c r="D2" s="58" t="s">
        <v>34</v>
      </c>
      <c r="E2" s="58" t="s">
        <v>35</v>
      </c>
      <c r="F2" s="58" t="s">
        <v>36</v>
      </c>
      <c r="G2" s="58" t="s">
        <v>37</v>
      </c>
      <c r="H2" s="58" t="s">
        <v>38</v>
      </c>
      <c r="I2" s="58" t="s">
        <v>39</v>
      </c>
      <c r="J2" s="90" t="s">
        <v>40</v>
      </c>
      <c r="K2" s="91"/>
      <c r="L2" s="58" t="s">
        <v>41</v>
      </c>
      <c r="M2" s="58" t="s">
        <v>42</v>
      </c>
      <c r="N2" s="58" t="s">
        <v>43</v>
      </c>
      <c r="O2" s="58" t="s">
        <v>44</v>
      </c>
      <c r="P2" s="58" t="s">
        <v>45</v>
      </c>
      <c r="Q2" s="58" t="s">
        <v>46</v>
      </c>
      <c r="R2" s="59" t="s">
        <v>47</v>
      </c>
      <c r="S2" s="89" t="s">
        <v>48</v>
      </c>
      <c r="T2" s="89"/>
      <c r="U2" s="59" t="s">
        <v>49</v>
      </c>
      <c r="V2" s="59" t="s">
        <v>50</v>
      </c>
      <c r="W2" s="58" t="s">
        <v>51</v>
      </c>
    </row>
    <row r="3" spans="1:35" s="4" customFormat="1" ht="409.5" customHeight="1" x14ac:dyDescent="0.25">
      <c r="A3" s="3" t="s">
        <v>0</v>
      </c>
      <c r="B3" s="3" t="s">
        <v>31</v>
      </c>
      <c r="C3" s="3" t="s">
        <v>21</v>
      </c>
      <c r="D3" s="3" t="s">
        <v>1</v>
      </c>
      <c r="E3" s="3" t="s">
        <v>8</v>
      </c>
      <c r="F3" s="3" t="s">
        <v>2</v>
      </c>
      <c r="G3" s="3" t="s">
        <v>3</v>
      </c>
      <c r="H3" s="3" t="s">
        <v>9</v>
      </c>
      <c r="I3" s="3" t="s">
        <v>4</v>
      </c>
      <c r="J3" s="3" t="s">
        <v>57</v>
      </c>
      <c r="K3" s="3" t="s">
        <v>5</v>
      </c>
      <c r="L3" s="3" t="s">
        <v>10</v>
      </c>
      <c r="M3" s="3" t="s">
        <v>59</v>
      </c>
      <c r="N3" s="3" t="s">
        <v>12</v>
      </c>
      <c r="O3" s="3" t="s">
        <v>54</v>
      </c>
      <c r="P3" s="19" t="s">
        <v>13</v>
      </c>
      <c r="Q3" s="3" t="s">
        <v>14</v>
      </c>
      <c r="R3" s="30" t="s">
        <v>60</v>
      </c>
      <c r="S3" s="30" t="s">
        <v>15</v>
      </c>
      <c r="T3" s="30" t="s">
        <v>16</v>
      </c>
      <c r="U3" s="30" t="s">
        <v>17</v>
      </c>
      <c r="V3" s="30" t="s">
        <v>18</v>
      </c>
      <c r="W3" s="3" t="s">
        <v>19</v>
      </c>
    </row>
    <row r="4" spans="1:35" s="6" customFormat="1" ht="30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31">
        <v>18</v>
      </c>
      <c r="S4" s="31">
        <v>19</v>
      </c>
      <c r="T4" s="31">
        <v>20</v>
      </c>
      <c r="U4" s="31">
        <v>21</v>
      </c>
      <c r="V4" s="31">
        <v>22</v>
      </c>
      <c r="W4" s="5">
        <v>23</v>
      </c>
    </row>
    <row r="5" spans="1:35" s="7" customFormat="1" ht="77.25" customHeight="1" x14ac:dyDescent="0.45">
      <c r="A5" s="24" t="s">
        <v>22</v>
      </c>
      <c r="B5" s="67">
        <v>6.5</v>
      </c>
      <c r="C5" s="55">
        <v>27870.5</v>
      </c>
      <c r="D5" s="13">
        <f t="shared" ref="D5:D10" si="0">C5/B5</f>
        <v>4287.7692307692305</v>
      </c>
      <c r="E5" s="64">
        <f t="shared" ref="E5:E10" si="1">D5/D$29</f>
        <v>1.6436698555766764</v>
      </c>
      <c r="F5" s="64">
        <v>0.55700000000000005</v>
      </c>
      <c r="G5" s="64">
        <f t="shared" ref="G5:G10" si="2">E5/F5</f>
        <v>2.9509333134231173</v>
      </c>
      <c r="H5" s="81">
        <v>2.9870000000000001</v>
      </c>
      <c r="I5" s="25"/>
      <c r="J5" s="34">
        <v>0.9</v>
      </c>
      <c r="K5" s="13">
        <f t="shared" ref="K5:K27" si="3">I5*J5</f>
        <v>0</v>
      </c>
      <c r="L5" s="25">
        <f>2473.53+C5</f>
        <v>30344.03</v>
      </c>
      <c r="M5" s="13">
        <f>L5/B5/1000</f>
        <v>4.6683123076923074</v>
      </c>
      <c r="N5" s="15">
        <f>3643.3/1000</f>
        <v>3.6433</v>
      </c>
      <c r="O5" s="55">
        <v>27870.5</v>
      </c>
      <c r="P5" s="80">
        <v>3007.806</v>
      </c>
      <c r="Q5" s="17">
        <f>(O5+P5+ K5)/B5</f>
        <v>4750.508615384615</v>
      </c>
      <c r="R5" s="32" t="s">
        <v>6</v>
      </c>
      <c r="S5" s="25"/>
      <c r="T5" s="33" t="s">
        <v>6</v>
      </c>
      <c r="U5" s="25">
        <f t="shared" ref="U5:U8" si="4">(T$29-K$29)*S5/S$29</f>
        <v>0</v>
      </c>
      <c r="V5" s="25">
        <f t="shared" ref="V5:V10" si="5">K5+U5</f>
        <v>0</v>
      </c>
      <c r="W5" s="14"/>
    </row>
    <row r="6" spans="1:35" s="7" customFormat="1" ht="68.25" customHeight="1" x14ac:dyDescent="0.45">
      <c r="A6" s="24" t="s">
        <v>23</v>
      </c>
      <c r="B6" s="67">
        <v>1.4</v>
      </c>
      <c r="C6" s="55">
        <v>1028.7</v>
      </c>
      <c r="D6" s="13">
        <f t="shared" si="0"/>
        <v>734.78571428571433</v>
      </c>
      <c r="E6" s="64">
        <f t="shared" si="1"/>
        <v>0.28167213855936329</v>
      </c>
      <c r="F6" s="64">
        <v>1.083</v>
      </c>
      <c r="G6" s="64">
        <f t="shared" si="2"/>
        <v>0.26008507715546009</v>
      </c>
      <c r="H6" s="81"/>
      <c r="I6" s="25">
        <f>$D$29*($H$29-G6)*F6*B6-100</f>
        <v>2009.7862942831998</v>
      </c>
      <c r="J6" s="34">
        <v>0.9</v>
      </c>
      <c r="K6" s="13">
        <f t="shared" si="3"/>
        <v>1808.8076648548799</v>
      </c>
      <c r="L6" s="13">
        <f>C6+K6+P6</f>
        <v>3465.6476648548801</v>
      </c>
      <c r="M6" s="13">
        <f t="shared" ref="M6:M29" si="6">L6/B6/1000</f>
        <v>2.475462617753486</v>
      </c>
      <c r="N6" s="15">
        <f>(G6*K6/(F6*B6*$M$29)-60)/1000</f>
        <v>2.4692083446422358E-2</v>
      </c>
      <c r="O6" s="55">
        <v>1028.7</v>
      </c>
      <c r="P6" s="80">
        <v>628.14</v>
      </c>
      <c r="Q6" s="17">
        <f t="shared" ref="Q6:Q10" si="7">(O6+P6+ K6)/B6</f>
        <v>2475.462617753486</v>
      </c>
      <c r="R6" s="32" t="s">
        <v>6</v>
      </c>
      <c r="S6" s="25">
        <f>Q$29*(R$29-N6)*F6*B6</f>
        <v>3608.8290794225836</v>
      </c>
      <c r="T6" s="33" t="s">
        <v>6</v>
      </c>
      <c r="U6" s="25">
        <f>(T$29-K$29)*S6/S$29</f>
        <v>945.35213653286758</v>
      </c>
      <c r="V6" s="25">
        <f t="shared" si="5"/>
        <v>2754.1598013877474</v>
      </c>
      <c r="W6" s="14">
        <f t="shared" ref="W6:W10" si="8">G6+V6/(B6*F6*Q$29)</f>
        <v>0.85177890650445298</v>
      </c>
      <c r="Y6" s="28"/>
      <c r="Z6" s="28"/>
      <c r="AI6" s="7">
        <v>2569.5300907031378</v>
      </c>
    </row>
    <row r="7" spans="1:35" s="7" customFormat="1" ht="73.5" customHeight="1" x14ac:dyDescent="0.45">
      <c r="A7" s="24" t="s">
        <v>24</v>
      </c>
      <c r="B7" s="67">
        <v>1.1000000000000001</v>
      </c>
      <c r="C7" s="55">
        <v>944.8</v>
      </c>
      <c r="D7" s="13">
        <f t="shared" si="0"/>
        <v>858.90909090909076</v>
      </c>
      <c r="E7" s="64">
        <f t="shared" si="1"/>
        <v>0.32925348950152522</v>
      </c>
      <c r="F7" s="64">
        <v>1.1779999999999999</v>
      </c>
      <c r="G7" s="64">
        <f t="shared" si="2"/>
        <v>0.27950211332896879</v>
      </c>
      <c r="H7" s="81"/>
      <c r="I7" s="25">
        <f>$D$29*($H$29-G7)*F7*B7 -300</f>
        <v>1437.4652289488001</v>
      </c>
      <c r="J7" s="34">
        <v>0.9</v>
      </c>
      <c r="K7" s="13">
        <f t="shared" si="3"/>
        <v>1293.7187060539202</v>
      </c>
      <c r="L7" s="13">
        <f>C7+K7+P7</f>
        <v>2756.2327060539201</v>
      </c>
      <c r="M7" s="13">
        <f t="shared" si="6"/>
        <v>2.5056660964126545</v>
      </c>
      <c r="N7" s="15">
        <f t="shared" ref="N7:N10" si="9">(G7*K7/(F7*B7*$M$29)-60)/1000</f>
        <v>1.6169036663790805E-2</v>
      </c>
      <c r="O7" s="55">
        <v>944.8</v>
      </c>
      <c r="P7" s="80">
        <v>517.71400000000006</v>
      </c>
      <c r="Q7" s="17">
        <f t="shared" si="7"/>
        <v>2505.6660964126545</v>
      </c>
      <c r="R7" s="32" t="s">
        <v>6</v>
      </c>
      <c r="S7" s="25">
        <v>2055</v>
      </c>
      <c r="T7" s="33" t="s">
        <v>6</v>
      </c>
      <c r="U7" s="25">
        <f t="shared" si="4"/>
        <v>538.31827382799645</v>
      </c>
      <c r="V7" s="25">
        <f t="shared" si="5"/>
        <v>1832.0369798819165</v>
      </c>
      <c r="W7" s="14">
        <f t="shared" si="8"/>
        <v>0.74003500922189769</v>
      </c>
      <c r="Y7" s="28"/>
      <c r="Z7" s="28"/>
      <c r="AI7" s="7">
        <v>1742.4169623582725</v>
      </c>
    </row>
    <row r="8" spans="1:35" s="7" customFormat="1" ht="66.75" customHeight="1" x14ac:dyDescent="0.45">
      <c r="A8" s="24" t="s">
        <v>25</v>
      </c>
      <c r="B8" s="67">
        <v>1</v>
      </c>
      <c r="C8" s="55">
        <v>755.4</v>
      </c>
      <c r="D8" s="13">
        <f t="shared" si="0"/>
        <v>755.4</v>
      </c>
      <c r="E8" s="64">
        <f t="shared" si="1"/>
        <v>0.28957440153090325</v>
      </c>
      <c r="F8" s="64">
        <v>1.127</v>
      </c>
      <c r="G8" s="64">
        <f>E8/F8</f>
        <v>0.25694268103895584</v>
      </c>
      <c r="H8" s="81"/>
      <c r="I8" s="25">
        <f t="shared" ref="I8" si="10">$D$29*($H$29-G8)*F8*B8</f>
        <v>1577.4545400720001</v>
      </c>
      <c r="J8" s="34">
        <v>0.9</v>
      </c>
      <c r="K8" s="13">
        <f t="shared" si="3"/>
        <v>1419.7090860648002</v>
      </c>
      <c r="L8" s="13">
        <f>C8+K8+P8</f>
        <v>2611.0780860648001</v>
      </c>
      <c r="M8" s="13">
        <f t="shared" si="6"/>
        <v>2.6110780860648002</v>
      </c>
      <c r="N8" s="15">
        <f t="shared" si="9"/>
        <v>2.8349314068659481E-2</v>
      </c>
      <c r="O8" s="55">
        <v>755.4</v>
      </c>
      <c r="P8" s="80">
        <v>435.96899999999999</v>
      </c>
      <c r="Q8" s="17">
        <f t="shared" si="7"/>
        <v>2611.0780860648001</v>
      </c>
      <c r="R8" s="32" t="s">
        <v>6</v>
      </c>
      <c r="S8" s="25">
        <f t="shared" ref="S8:S10" si="11">Q$29*(R$29-N8)*F8*B8</f>
        <v>2669.8094466006542</v>
      </c>
      <c r="T8" s="33" t="s">
        <v>6</v>
      </c>
      <c r="U8" s="25">
        <f t="shared" si="4"/>
        <v>699.37090644464365</v>
      </c>
      <c r="V8" s="25">
        <f t="shared" si="5"/>
        <v>2119.0799925094439</v>
      </c>
      <c r="W8" s="14">
        <f t="shared" si="8"/>
        <v>0.8694169277854058</v>
      </c>
      <c r="Y8" s="28"/>
      <c r="Z8" s="28"/>
      <c r="AI8" s="7">
        <v>1869.7304758654586</v>
      </c>
    </row>
    <row r="9" spans="1:35" s="7" customFormat="1" ht="69" customHeight="1" x14ac:dyDescent="0.45">
      <c r="A9" s="24" t="s">
        <v>26</v>
      </c>
      <c r="B9" s="67">
        <v>1</v>
      </c>
      <c r="C9" s="55">
        <v>830.3</v>
      </c>
      <c r="D9" s="13">
        <f t="shared" si="0"/>
        <v>830.3</v>
      </c>
      <c r="E9" s="64">
        <f t="shared" si="1"/>
        <v>0.3182865046215369</v>
      </c>
      <c r="F9" s="64">
        <v>1.488</v>
      </c>
      <c r="G9" s="64">
        <f t="shared" si="2"/>
        <v>0.21390222084780705</v>
      </c>
      <c r="H9" s="81">
        <v>0.187</v>
      </c>
      <c r="I9" s="25">
        <f>$D$29*($H$29-G9)*F9*B9-100</f>
        <v>2149.8131815679999</v>
      </c>
      <c r="J9" s="34">
        <v>0.9</v>
      </c>
      <c r="K9" s="13">
        <f>I9*J9-300</f>
        <v>1634.8318634111999</v>
      </c>
      <c r="L9" s="13">
        <f>C9+K9+P9</f>
        <v>2934.0858634112001</v>
      </c>
      <c r="M9" s="13">
        <f t="shared" si="6"/>
        <v>2.9340858634111999</v>
      </c>
      <c r="N9" s="15">
        <f>(G9*K9/(F9*B9*$M$29))/1000</f>
        <v>6.4147087254059418E-2</v>
      </c>
      <c r="O9" s="55">
        <v>830.3</v>
      </c>
      <c r="P9" s="80">
        <v>468.95400000000001</v>
      </c>
      <c r="Q9" s="17">
        <f t="shared" si="7"/>
        <v>2934.0858634112001</v>
      </c>
      <c r="R9" s="32" t="s">
        <v>6</v>
      </c>
      <c r="S9" s="25">
        <f t="shared" si="11"/>
        <v>3361.4723808864665</v>
      </c>
      <c r="T9" s="33" t="s">
        <v>6</v>
      </c>
      <c r="U9" s="25">
        <f>(T$29-K$29)*S9/S$29-29</f>
        <v>851.55572243274378</v>
      </c>
      <c r="V9" s="25">
        <f t="shared" si="5"/>
        <v>2486.3875858439437</v>
      </c>
      <c r="W9" s="14">
        <f t="shared" si="8"/>
        <v>0.75819214500780241</v>
      </c>
      <c r="Y9" s="28"/>
      <c r="Z9" s="28"/>
      <c r="AI9" s="7">
        <v>2223.2584938751133</v>
      </c>
    </row>
    <row r="10" spans="1:35" s="7" customFormat="1" ht="76.5" customHeight="1" x14ac:dyDescent="0.45">
      <c r="A10" s="24" t="s">
        <v>27</v>
      </c>
      <c r="B10" s="67">
        <v>1.5</v>
      </c>
      <c r="C10" s="55">
        <v>1178.5</v>
      </c>
      <c r="D10" s="13">
        <f t="shared" si="0"/>
        <v>785.66666666666663</v>
      </c>
      <c r="E10" s="64">
        <f t="shared" si="1"/>
        <v>0.30117680010958386</v>
      </c>
      <c r="F10" s="64">
        <v>1.0549999999999999</v>
      </c>
      <c r="G10" s="64">
        <f t="shared" si="2"/>
        <v>0.28547563991429753</v>
      </c>
      <c r="H10" s="64"/>
      <c r="I10" s="25">
        <f>$D$29*($H$29-G10)*F10*B10-100</f>
        <v>1997.2252082199993</v>
      </c>
      <c r="J10" s="34">
        <v>0.9</v>
      </c>
      <c r="K10" s="13">
        <f t="shared" si="3"/>
        <v>1797.5026873979994</v>
      </c>
      <c r="L10" s="13">
        <f>C10+K10+P10</f>
        <v>3683.9746873979993</v>
      </c>
      <c r="M10" s="13">
        <f t="shared" si="6"/>
        <v>2.4559831249319997</v>
      </c>
      <c r="N10" s="15">
        <f t="shared" si="9"/>
        <v>2.8508783095973343E-2</v>
      </c>
      <c r="O10" s="55">
        <v>1178.5</v>
      </c>
      <c r="P10" s="80">
        <v>707.97199999999998</v>
      </c>
      <c r="Q10" s="17">
        <f t="shared" si="7"/>
        <v>2455.9831249319996</v>
      </c>
      <c r="R10" s="32" t="s">
        <v>6</v>
      </c>
      <c r="S10" s="25">
        <f t="shared" si="11"/>
        <v>3748.0925624613355</v>
      </c>
      <c r="T10" s="33" t="s">
        <v>6</v>
      </c>
      <c r="U10" s="25">
        <f>(T$29-K$29)*S10/S$29+29</f>
        <v>1010.8329529789481</v>
      </c>
      <c r="V10" s="25">
        <f t="shared" si="5"/>
        <v>2808.3356403769476</v>
      </c>
      <c r="W10" s="14">
        <f t="shared" si="8"/>
        <v>0.86353134279869237</v>
      </c>
      <c r="Y10" s="28"/>
      <c r="Z10" s="28"/>
      <c r="AI10" s="7">
        <v>2595.0639771980186</v>
      </c>
    </row>
    <row r="11" spans="1:35" s="7" customFormat="1" ht="39.75" customHeight="1" x14ac:dyDescent="0.4">
      <c r="A11" s="35"/>
      <c r="B11" s="56"/>
      <c r="C11" s="57"/>
      <c r="D11" s="13"/>
      <c r="E11" s="64"/>
      <c r="F11" s="64"/>
      <c r="G11" s="64"/>
      <c r="H11" s="64"/>
      <c r="I11" s="25"/>
      <c r="J11" s="34"/>
      <c r="K11" s="13"/>
      <c r="L11" s="13"/>
      <c r="M11" s="13"/>
      <c r="N11" s="15"/>
      <c r="O11" s="34"/>
      <c r="P11" s="34"/>
      <c r="Q11" s="17"/>
      <c r="R11" s="32"/>
      <c r="S11" s="25"/>
      <c r="T11" s="33"/>
      <c r="U11" s="25"/>
      <c r="V11" s="25"/>
      <c r="W11" s="14"/>
    </row>
    <row r="12" spans="1:35" s="7" customFormat="1" ht="29.25" customHeight="1" x14ac:dyDescent="0.4">
      <c r="A12" s="35"/>
      <c r="B12" s="56"/>
      <c r="C12" s="57"/>
      <c r="D12" s="13"/>
      <c r="E12" s="64"/>
      <c r="F12" s="64"/>
      <c r="G12" s="64"/>
      <c r="H12" s="64"/>
      <c r="I12" s="25"/>
      <c r="J12" s="34"/>
      <c r="K12" s="13"/>
      <c r="L12" s="13"/>
      <c r="M12" s="13"/>
      <c r="N12" s="15"/>
      <c r="O12" s="34"/>
      <c r="P12" s="34"/>
      <c r="Q12" s="17"/>
      <c r="R12" s="32"/>
      <c r="S12" s="25"/>
      <c r="T12" s="33"/>
      <c r="U12" s="25"/>
      <c r="V12" s="25"/>
      <c r="W12" s="14"/>
    </row>
    <row r="13" spans="1:35" s="7" customFormat="1" ht="34.5" hidden="1" customHeight="1" x14ac:dyDescent="0.4">
      <c r="A13" s="35"/>
      <c r="B13" s="36"/>
      <c r="C13" s="25"/>
      <c r="D13" s="13"/>
      <c r="E13" s="64"/>
      <c r="F13" s="64"/>
      <c r="G13" s="64"/>
      <c r="H13" s="64"/>
      <c r="I13" s="25"/>
      <c r="J13" s="34"/>
      <c r="K13" s="13">
        <f t="shared" si="3"/>
        <v>0</v>
      </c>
      <c r="L13" s="13">
        <f t="shared" ref="L13:L27" si="12">C13+K13</f>
        <v>0</v>
      </c>
      <c r="M13" s="13"/>
      <c r="N13" s="15"/>
      <c r="O13" s="34"/>
      <c r="P13" s="34"/>
      <c r="Q13" s="17"/>
      <c r="R13" s="32"/>
      <c r="S13" s="25"/>
      <c r="T13" s="33"/>
      <c r="U13" s="25"/>
      <c r="V13" s="25"/>
      <c r="W13" s="14"/>
    </row>
    <row r="14" spans="1:35" s="7" customFormat="1" ht="34.5" hidden="1" customHeight="1" x14ac:dyDescent="0.4">
      <c r="A14" s="35"/>
      <c r="B14" s="36"/>
      <c r="C14" s="25"/>
      <c r="D14" s="13"/>
      <c r="E14" s="64"/>
      <c r="F14" s="64"/>
      <c r="G14" s="64"/>
      <c r="H14" s="64"/>
      <c r="I14" s="25"/>
      <c r="J14" s="34"/>
      <c r="K14" s="13">
        <f t="shared" si="3"/>
        <v>0</v>
      </c>
      <c r="L14" s="13">
        <f t="shared" si="12"/>
        <v>0</v>
      </c>
      <c r="M14" s="13"/>
      <c r="N14" s="15"/>
      <c r="O14" s="34"/>
      <c r="P14" s="34"/>
      <c r="Q14" s="17"/>
      <c r="R14" s="32"/>
      <c r="S14" s="25"/>
      <c r="T14" s="33"/>
      <c r="U14" s="25"/>
      <c r="V14" s="25"/>
      <c r="W14" s="14"/>
    </row>
    <row r="15" spans="1:35" s="7" customFormat="1" ht="34.5" hidden="1" customHeight="1" x14ac:dyDescent="0.4">
      <c r="A15" s="35"/>
      <c r="B15" s="36"/>
      <c r="C15" s="25"/>
      <c r="D15" s="13"/>
      <c r="E15" s="64"/>
      <c r="F15" s="64"/>
      <c r="G15" s="64"/>
      <c r="H15" s="64"/>
      <c r="I15" s="25"/>
      <c r="J15" s="34"/>
      <c r="K15" s="13">
        <f t="shared" si="3"/>
        <v>0</v>
      </c>
      <c r="L15" s="13">
        <f t="shared" si="12"/>
        <v>0</v>
      </c>
      <c r="M15" s="13"/>
      <c r="N15" s="15"/>
      <c r="O15" s="34"/>
      <c r="P15" s="34"/>
      <c r="Q15" s="17"/>
      <c r="R15" s="32"/>
      <c r="S15" s="25"/>
      <c r="T15" s="33"/>
      <c r="U15" s="25"/>
      <c r="V15" s="25"/>
      <c r="W15" s="14"/>
    </row>
    <row r="16" spans="1:35" s="7" customFormat="1" ht="34.5" hidden="1" customHeight="1" x14ac:dyDescent="0.4">
      <c r="A16" s="35"/>
      <c r="B16" s="36"/>
      <c r="C16" s="25"/>
      <c r="D16" s="13"/>
      <c r="E16" s="64"/>
      <c r="F16" s="64"/>
      <c r="G16" s="64"/>
      <c r="H16" s="64"/>
      <c r="I16" s="25"/>
      <c r="J16" s="34"/>
      <c r="K16" s="13">
        <f t="shared" si="3"/>
        <v>0</v>
      </c>
      <c r="L16" s="13">
        <f t="shared" si="12"/>
        <v>0</v>
      </c>
      <c r="M16" s="13"/>
      <c r="N16" s="15"/>
      <c r="O16" s="34"/>
      <c r="P16" s="34"/>
      <c r="Q16" s="17"/>
      <c r="R16" s="32"/>
      <c r="S16" s="25"/>
      <c r="T16" s="33"/>
      <c r="U16" s="25"/>
      <c r="V16" s="25"/>
      <c r="W16" s="14"/>
    </row>
    <row r="17" spans="1:23" s="7" customFormat="1" ht="34.5" hidden="1" customHeight="1" x14ac:dyDescent="0.4">
      <c r="A17" s="35"/>
      <c r="B17" s="36"/>
      <c r="C17" s="25"/>
      <c r="D17" s="13"/>
      <c r="E17" s="64"/>
      <c r="F17" s="64"/>
      <c r="G17" s="64"/>
      <c r="H17" s="64"/>
      <c r="I17" s="25"/>
      <c r="J17" s="34"/>
      <c r="K17" s="13">
        <f t="shared" si="3"/>
        <v>0</v>
      </c>
      <c r="L17" s="13">
        <f t="shared" si="12"/>
        <v>0</v>
      </c>
      <c r="M17" s="13"/>
      <c r="N17" s="15"/>
      <c r="O17" s="34"/>
      <c r="P17" s="34"/>
      <c r="Q17" s="17"/>
      <c r="R17" s="32"/>
      <c r="S17" s="25"/>
      <c r="T17" s="33"/>
      <c r="U17" s="25"/>
      <c r="V17" s="25"/>
      <c r="W17" s="14"/>
    </row>
    <row r="18" spans="1:23" s="7" customFormat="1" ht="34.5" hidden="1" customHeight="1" x14ac:dyDescent="0.4">
      <c r="A18" s="35"/>
      <c r="B18" s="36"/>
      <c r="C18" s="25"/>
      <c r="D18" s="13"/>
      <c r="E18" s="64"/>
      <c r="F18" s="64"/>
      <c r="G18" s="64"/>
      <c r="H18" s="64"/>
      <c r="I18" s="25"/>
      <c r="J18" s="34"/>
      <c r="K18" s="13">
        <f t="shared" si="3"/>
        <v>0</v>
      </c>
      <c r="L18" s="13">
        <f t="shared" si="12"/>
        <v>0</v>
      </c>
      <c r="M18" s="13"/>
      <c r="N18" s="15"/>
      <c r="O18" s="34"/>
      <c r="P18" s="34"/>
      <c r="Q18" s="17"/>
      <c r="R18" s="32"/>
      <c r="S18" s="25"/>
      <c r="T18" s="33"/>
      <c r="U18" s="25"/>
      <c r="V18" s="25"/>
      <c r="W18" s="14"/>
    </row>
    <row r="19" spans="1:23" s="7" customFormat="1" ht="34.5" hidden="1" customHeight="1" x14ac:dyDescent="0.4">
      <c r="A19" s="35"/>
      <c r="B19" s="36"/>
      <c r="C19" s="25"/>
      <c r="D19" s="13"/>
      <c r="E19" s="64"/>
      <c r="F19" s="64"/>
      <c r="G19" s="64"/>
      <c r="H19" s="64"/>
      <c r="I19" s="25"/>
      <c r="J19" s="34"/>
      <c r="K19" s="13">
        <f t="shared" si="3"/>
        <v>0</v>
      </c>
      <c r="L19" s="13">
        <f t="shared" si="12"/>
        <v>0</v>
      </c>
      <c r="M19" s="13"/>
      <c r="N19" s="15"/>
      <c r="O19" s="34"/>
      <c r="P19" s="34"/>
      <c r="Q19" s="17"/>
      <c r="R19" s="32"/>
      <c r="S19" s="25"/>
      <c r="T19" s="33"/>
      <c r="U19" s="25"/>
      <c r="V19" s="25"/>
      <c r="W19" s="14"/>
    </row>
    <row r="20" spans="1:23" s="7" customFormat="1" ht="34.5" hidden="1" customHeight="1" x14ac:dyDescent="0.4">
      <c r="A20" s="35"/>
      <c r="B20" s="36"/>
      <c r="C20" s="25"/>
      <c r="D20" s="13"/>
      <c r="E20" s="64"/>
      <c r="F20" s="64"/>
      <c r="G20" s="64"/>
      <c r="H20" s="64"/>
      <c r="I20" s="25"/>
      <c r="J20" s="34"/>
      <c r="K20" s="13">
        <f t="shared" si="3"/>
        <v>0</v>
      </c>
      <c r="L20" s="13">
        <f t="shared" si="12"/>
        <v>0</v>
      </c>
      <c r="M20" s="13"/>
      <c r="N20" s="15"/>
      <c r="O20" s="34"/>
      <c r="P20" s="34"/>
      <c r="Q20" s="17"/>
      <c r="R20" s="32"/>
      <c r="S20" s="25"/>
      <c r="T20" s="33"/>
      <c r="U20" s="25"/>
      <c r="V20" s="25"/>
      <c r="W20" s="14"/>
    </row>
    <row r="21" spans="1:23" s="7" customFormat="1" ht="34.5" hidden="1" customHeight="1" x14ac:dyDescent="0.4">
      <c r="A21" s="35"/>
      <c r="B21" s="36"/>
      <c r="C21" s="25"/>
      <c r="D21" s="13"/>
      <c r="E21" s="64"/>
      <c r="F21" s="64"/>
      <c r="G21" s="64"/>
      <c r="H21" s="64"/>
      <c r="I21" s="25"/>
      <c r="J21" s="34"/>
      <c r="K21" s="13">
        <f t="shared" si="3"/>
        <v>0</v>
      </c>
      <c r="L21" s="13">
        <f t="shared" si="12"/>
        <v>0</v>
      </c>
      <c r="M21" s="13"/>
      <c r="N21" s="15"/>
      <c r="O21" s="34"/>
      <c r="P21" s="34"/>
      <c r="Q21" s="17"/>
      <c r="R21" s="32"/>
      <c r="S21" s="25"/>
      <c r="T21" s="33"/>
      <c r="U21" s="25"/>
      <c r="V21" s="25"/>
      <c r="W21" s="14"/>
    </row>
    <row r="22" spans="1:23" s="7" customFormat="1" ht="34.5" hidden="1" customHeight="1" x14ac:dyDescent="0.4">
      <c r="A22" s="35"/>
      <c r="B22" s="36"/>
      <c r="C22" s="25"/>
      <c r="D22" s="13"/>
      <c r="E22" s="64"/>
      <c r="F22" s="64"/>
      <c r="G22" s="64"/>
      <c r="H22" s="64"/>
      <c r="I22" s="25"/>
      <c r="J22" s="34"/>
      <c r="K22" s="13">
        <f t="shared" si="3"/>
        <v>0</v>
      </c>
      <c r="L22" s="13">
        <f t="shared" si="12"/>
        <v>0</v>
      </c>
      <c r="M22" s="13"/>
      <c r="N22" s="15"/>
      <c r="O22" s="34"/>
      <c r="P22" s="34"/>
      <c r="Q22" s="17"/>
      <c r="R22" s="32"/>
      <c r="S22" s="25"/>
      <c r="T22" s="33"/>
      <c r="U22" s="25"/>
      <c r="V22" s="25"/>
      <c r="W22" s="14"/>
    </row>
    <row r="23" spans="1:23" s="7" customFormat="1" ht="34.5" hidden="1" customHeight="1" x14ac:dyDescent="0.4">
      <c r="A23" s="35"/>
      <c r="B23" s="36"/>
      <c r="C23" s="25"/>
      <c r="D23" s="13"/>
      <c r="E23" s="64"/>
      <c r="F23" s="64"/>
      <c r="G23" s="64"/>
      <c r="H23" s="64"/>
      <c r="I23" s="25"/>
      <c r="J23" s="34"/>
      <c r="K23" s="13">
        <f t="shared" si="3"/>
        <v>0</v>
      </c>
      <c r="L23" s="13">
        <f t="shared" si="12"/>
        <v>0</v>
      </c>
      <c r="M23" s="13"/>
      <c r="N23" s="15"/>
      <c r="O23" s="34"/>
      <c r="P23" s="34"/>
      <c r="Q23" s="17"/>
      <c r="R23" s="32"/>
      <c r="S23" s="25"/>
      <c r="T23" s="33"/>
      <c r="U23" s="25"/>
      <c r="V23" s="25"/>
      <c r="W23" s="14"/>
    </row>
    <row r="24" spans="1:23" s="7" customFormat="1" ht="34.5" hidden="1" customHeight="1" x14ac:dyDescent="0.4">
      <c r="A24" s="35"/>
      <c r="B24" s="36"/>
      <c r="C24" s="25"/>
      <c r="D24" s="13"/>
      <c r="E24" s="64"/>
      <c r="F24" s="64"/>
      <c r="G24" s="64"/>
      <c r="H24" s="64"/>
      <c r="I24" s="25"/>
      <c r="J24" s="34"/>
      <c r="K24" s="13">
        <f t="shared" si="3"/>
        <v>0</v>
      </c>
      <c r="L24" s="13">
        <f t="shared" si="12"/>
        <v>0</v>
      </c>
      <c r="M24" s="13"/>
      <c r="N24" s="15"/>
      <c r="O24" s="34"/>
      <c r="P24" s="34"/>
      <c r="Q24" s="17"/>
      <c r="R24" s="32"/>
      <c r="S24" s="25"/>
      <c r="T24" s="33"/>
      <c r="U24" s="25"/>
      <c r="V24" s="25"/>
      <c r="W24" s="14"/>
    </row>
    <row r="25" spans="1:23" s="7" customFormat="1" ht="34.5" hidden="1" customHeight="1" x14ac:dyDescent="0.4">
      <c r="A25" s="35"/>
      <c r="B25" s="36"/>
      <c r="C25" s="25"/>
      <c r="D25" s="13"/>
      <c r="E25" s="64"/>
      <c r="F25" s="64"/>
      <c r="G25" s="64"/>
      <c r="H25" s="64"/>
      <c r="I25" s="25"/>
      <c r="J25" s="34"/>
      <c r="K25" s="13">
        <f t="shared" si="3"/>
        <v>0</v>
      </c>
      <c r="L25" s="13">
        <f t="shared" si="12"/>
        <v>0</v>
      </c>
      <c r="M25" s="13"/>
      <c r="N25" s="15"/>
      <c r="O25" s="34"/>
      <c r="P25" s="34"/>
      <c r="Q25" s="17"/>
      <c r="R25" s="32"/>
      <c r="S25" s="25"/>
      <c r="T25" s="33"/>
      <c r="U25" s="25"/>
      <c r="V25" s="25"/>
      <c r="W25" s="14"/>
    </row>
    <row r="26" spans="1:23" s="7" customFormat="1" ht="34.5" hidden="1" customHeight="1" x14ac:dyDescent="0.4">
      <c r="A26" s="35"/>
      <c r="B26" s="36"/>
      <c r="C26" s="25"/>
      <c r="D26" s="13"/>
      <c r="E26" s="64"/>
      <c r="F26" s="64"/>
      <c r="G26" s="64"/>
      <c r="H26" s="64"/>
      <c r="I26" s="25"/>
      <c r="J26" s="34"/>
      <c r="K26" s="13">
        <f t="shared" si="3"/>
        <v>0</v>
      </c>
      <c r="L26" s="13">
        <f t="shared" si="12"/>
        <v>0</v>
      </c>
      <c r="M26" s="13"/>
      <c r="N26" s="15"/>
      <c r="O26" s="34"/>
      <c r="P26" s="34"/>
      <c r="Q26" s="17"/>
      <c r="R26" s="32"/>
      <c r="S26" s="25"/>
      <c r="T26" s="33"/>
      <c r="U26" s="25"/>
      <c r="V26" s="25"/>
      <c r="W26" s="14"/>
    </row>
    <row r="27" spans="1:23" s="7" customFormat="1" ht="34.5" hidden="1" customHeight="1" x14ac:dyDescent="0.4">
      <c r="A27" s="35"/>
      <c r="B27" s="36"/>
      <c r="C27" s="25"/>
      <c r="D27" s="13"/>
      <c r="E27" s="64"/>
      <c r="F27" s="64"/>
      <c r="G27" s="64"/>
      <c r="H27" s="64"/>
      <c r="I27" s="25"/>
      <c r="J27" s="34"/>
      <c r="K27" s="13">
        <f t="shared" si="3"/>
        <v>0</v>
      </c>
      <c r="L27" s="13">
        <f t="shared" si="12"/>
        <v>0</v>
      </c>
      <c r="M27" s="13"/>
      <c r="N27" s="15"/>
      <c r="O27" s="34"/>
      <c r="P27" s="34"/>
      <c r="Q27" s="17"/>
      <c r="R27" s="32"/>
      <c r="S27" s="25"/>
      <c r="T27" s="33"/>
      <c r="U27" s="25"/>
      <c r="V27" s="25"/>
      <c r="W27" s="14"/>
    </row>
    <row r="28" spans="1:23" s="7" customFormat="1" ht="40.5" customHeight="1" x14ac:dyDescent="0.4">
      <c r="A28" s="35"/>
      <c r="B28" s="36"/>
      <c r="C28" s="25"/>
      <c r="D28" s="13"/>
      <c r="E28" s="64"/>
      <c r="F28" s="64"/>
      <c r="G28" s="64"/>
      <c r="H28" s="64"/>
      <c r="I28" s="25"/>
      <c r="J28" s="34"/>
      <c r="K28" s="13"/>
      <c r="L28" s="13"/>
      <c r="M28" s="13"/>
      <c r="N28" s="15"/>
      <c r="O28" s="34"/>
      <c r="P28" s="34"/>
      <c r="Q28" s="17"/>
      <c r="R28" s="32"/>
      <c r="S28" s="25"/>
      <c r="T28" s="33"/>
      <c r="U28" s="25"/>
      <c r="V28" s="25"/>
      <c r="W28" s="14"/>
    </row>
    <row r="29" spans="1:23" s="21" customFormat="1" ht="34.5" customHeight="1" x14ac:dyDescent="0.4">
      <c r="A29" s="8" t="s">
        <v>20</v>
      </c>
      <c r="B29" s="23">
        <f>SUM(B5:B28)</f>
        <v>12.5</v>
      </c>
      <c r="C29" s="16">
        <f>SUM(C5:C28)</f>
        <v>32608.2</v>
      </c>
      <c r="D29" s="16">
        <f t="shared" ref="D29" si="13">C29/B29</f>
        <v>2608.6559999999999</v>
      </c>
      <c r="E29" s="65">
        <f>D29/D29</f>
        <v>1</v>
      </c>
      <c r="F29" s="65">
        <v>0.83099999999999996</v>
      </c>
      <c r="G29" s="65">
        <f t="shared" ref="G29" si="14">E29/F29</f>
        <v>1.2033694344163659</v>
      </c>
      <c r="H29" s="65">
        <f>SUM(H5:H28)/4</f>
        <v>0.79349999999999998</v>
      </c>
      <c r="I29" s="29">
        <f>SUM(I5:I28)</f>
        <v>9171.7444530920002</v>
      </c>
      <c r="J29" s="79"/>
      <c r="K29" s="16">
        <f>SUM(K5:K28)</f>
        <v>7954.5700077828005</v>
      </c>
      <c r="L29" s="16">
        <f>SUM(L5:L28)</f>
        <v>45795.049007782793</v>
      </c>
      <c r="M29" s="13">
        <f t="shared" si="6"/>
        <v>3.6636039206226232</v>
      </c>
      <c r="N29" s="15">
        <f>(D29+K29/(F29*B29*$M$29))/1000</f>
        <v>2.8176804823117054</v>
      </c>
      <c r="O29" s="20">
        <f>SUM(O5:O28)</f>
        <v>32608.2</v>
      </c>
      <c r="P29" s="69">
        <f>SUM(P5:P28)</f>
        <v>5766.5549999999994</v>
      </c>
      <c r="Q29" s="20">
        <f>(O29+P29)/B29</f>
        <v>3069.9803999999999</v>
      </c>
      <c r="R29" s="79">
        <v>0.8</v>
      </c>
      <c r="S29" s="29">
        <f>SUM(S5:S28)</f>
        <v>15443.203469371039</v>
      </c>
      <c r="T29" s="66">
        <v>12000</v>
      </c>
      <c r="U29" s="29">
        <f>SUM(U5:U28)</f>
        <v>4045.4299922171995</v>
      </c>
      <c r="V29" s="29">
        <f>SUM(V5:V28)</f>
        <v>12000</v>
      </c>
      <c r="W29" s="69">
        <f>SUM(W5:W28)/5</f>
        <v>0.81659086626365018</v>
      </c>
    </row>
    <row r="30" spans="1:23" s="9" customFormat="1" ht="26.25" x14ac:dyDescent="0.25">
      <c r="S30" s="10"/>
      <c r="T30" s="10"/>
    </row>
    <row r="31" spans="1:23" x14ac:dyDescent="0.4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23" x14ac:dyDescent="0.4">
      <c r="B32" s="22" t="s">
        <v>58</v>
      </c>
      <c r="C32" s="22"/>
      <c r="D32" s="22"/>
      <c r="E32" s="22"/>
      <c r="F32" s="22"/>
      <c r="G32" s="22"/>
      <c r="H32" s="22"/>
      <c r="I32" s="22"/>
      <c r="J32" s="22"/>
      <c r="K32" s="22"/>
      <c r="L32" s="22" t="s">
        <v>64</v>
      </c>
      <c r="N32" s="22"/>
      <c r="T32" s="68"/>
    </row>
  </sheetData>
  <sortState xmlns:xlrd2="http://schemas.microsoft.com/office/spreadsheetml/2017/richdata2" ref="A5:W28">
    <sortCondition ref="A5"/>
  </sortState>
  <mergeCells count="2">
    <mergeCell ref="S2:T2"/>
    <mergeCell ref="J2:K2"/>
  </mergeCells>
  <pageMargins left="0" right="0" top="0" bottom="0" header="0.31496062992125984" footer="0.31496062992125984"/>
  <pageSetup paperSize="9" scale="53" fitToWidth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4"/>
  <sheetViews>
    <sheetView tabSelected="1" zoomScale="44" zoomScaleNormal="44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Y5" sqref="Y5:Y9"/>
    </sheetView>
  </sheetViews>
  <sheetFormatPr defaultColWidth="19.5703125" defaultRowHeight="30" x14ac:dyDescent="0.4"/>
  <cols>
    <col min="1" max="1" width="48.85546875" style="1" customWidth="1"/>
    <col min="2" max="2" width="0.7109375" style="1" hidden="1" customWidth="1"/>
    <col min="3" max="3" width="0.140625" style="1" hidden="1" customWidth="1"/>
    <col min="4" max="4" width="24.42578125" style="1" hidden="1" customWidth="1"/>
    <col min="5" max="5" width="29" style="1" hidden="1" customWidth="1"/>
    <col min="6" max="6" width="26.5703125" style="1" hidden="1" customWidth="1"/>
    <col min="7" max="7" width="25.42578125" style="1" hidden="1" customWidth="1"/>
    <col min="8" max="8" width="33.140625" style="1" hidden="1" customWidth="1"/>
    <col min="9" max="9" width="33" style="1" hidden="1" customWidth="1"/>
    <col min="10" max="10" width="25.85546875" style="1" hidden="1" customWidth="1"/>
    <col min="11" max="11" width="30.7109375" style="1" hidden="1" customWidth="1"/>
    <col min="12" max="12" width="26.85546875" style="1" hidden="1" customWidth="1"/>
    <col min="13" max="13" width="28.140625" style="1" hidden="1" customWidth="1"/>
    <col min="14" max="14" width="33.42578125" style="1" hidden="1" customWidth="1"/>
    <col min="15" max="15" width="29.28515625" style="1" customWidth="1"/>
    <col min="16" max="16" width="26.5703125" style="1" customWidth="1"/>
    <col min="17" max="17" width="2" style="1" hidden="1" customWidth="1"/>
    <col min="18" max="18" width="24.28515625" style="1" hidden="1" customWidth="1"/>
    <col min="19" max="19" width="12.28515625" style="1" hidden="1" customWidth="1"/>
    <col min="20" max="20" width="9.42578125" style="1" hidden="1" customWidth="1"/>
    <col min="21" max="21" width="14.85546875" style="1" hidden="1" customWidth="1"/>
    <col min="22" max="22" width="30.85546875" style="1" customWidth="1"/>
    <col min="23" max="23" width="26.28515625" style="1" customWidth="1"/>
    <col min="24" max="24" width="31.85546875" style="1" customWidth="1"/>
    <col min="25" max="25" width="23.140625" style="1" customWidth="1"/>
    <col min="26" max="32" width="19.5703125" style="1"/>
    <col min="33" max="33" width="34.140625" style="1" customWidth="1"/>
    <col min="34" max="16384" width="19.5703125" style="1"/>
  </cols>
  <sheetData>
    <row r="1" spans="1:32" ht="89.25" customHeight="1" x14ac:dyDescent="0.4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32" s="4" customFormat="1" ht="275.25" customHeight="1" x14ac:dyDescent="0.25">
      <c r="A2" s="37" t="s">
        <v>0</v>
      </c>
      <c r="B2" s="37" t="s">
        <v>7</v>
      </c>
      <c r="C2" s="37" t="s">
        <v>21</v>
      </c>
      <c r="D2" s="37" t="s">
        <v>1</v>
      </c>
      <c r="E2" s="37" t="s">
        <v>8</v>
      </c>
      <c r="F2" s="37" t="s">
        <v>2</v>
      </c>
      <c r="G2" s="37" t="s">
        <v>3</v>
      </c>
      <c r="H2" s="37" t="s">
        <v>9</v>
      </c>
      <c r="I2" s="37" t="s">
        <v>4</v>
      </c>
      <c r="J2" s="37" t="s">
        <v>29</v>
      </c>
      <c r="K2" s="37" t="s">
        <v>5</v>
      </c>
      <c r="L2" s="37" t="s">
        <v>10</v>
      </c>
      <c r="M2" s="37" t="s">
        <v>11</v>
      </c>
      <c r="N2" s="37" t="s">
        <v>12</v>
      </c>
      <c r="O2" s="37" t="s">
        <v>28</v>
      </c>
      <c r="P2" s="38" t="s">
        <v>55</v>
      </c>
      <c r="Q2" s="37" t="s">
        <v>14</v>
      </c>
      <c r="R2" s="39" t="s">
        <v>32</v>
      </c>
      <c r="S2" s="39"/>
      <c r="T2" s="39"/>
      <c r="U2" s="39"/>
      <c r="V2" s="40" t="s">
        <v>56</v>
      </c>
      <c r="W2" s="83" t="s">
        <v>61</v>
      </c>
      <c r="X2" s="37" t="s">
        <v>30</v>
      </c>
    </row>
    <row r="3" spans="1:32" s="6" customFormat="1" ht="30.75" x14ac:dyDescent="0.25">
      <c r="A3" s="41">
        <v>1</v>
      </c>
      <c r="B3" s="41">
        <v>2</v>
      </c>
      <c r="C3" s="41">
        <v>3</v>
      </c>
      <c r="D3" s="41">
        <v>4</v>
      </c>
      <c r="E3" s="41">
        <v>5</v>
      </c>
      <c r="F3" s="41">
        <v>6</v>
      </c>
      <c r="G3" s="41">
        <v>7</v>
      </c>
      <c r="H3" s="41">
        <v>8</v>
      </c>
      <c r="I3" s="41">
        <v>9</v>
      </c>
      <c r="J3" s="41">
        <v>10</v>
      </c>
      <c r="K3" s="41">
        <v>11</v>
      </c>
      <c r="L3" s="41">
        <v>12</v>
      </c>
      <c r="M3" s="41">
        <v>13</v>
      </c>
      <c r="N3" s="41">
        <v>14</v>
      </c>
      <c r="O3" s="41">
        <v>2</v>
      </c>
      <c r="P3" s="41">
        <v>3</v>
      </c>
      <c r="Q3" s="41">
        <v>17</v>
      </c>
      <c r="R3" s="42">
        <v>18</v>
      </c>
      <c r="S3" s="42"/>
      <c r="T3" s="42"/>
      <c r="U3" s="42"/>
      <c r="V3" s="43">
        <v>4</v>
      </c>
      <c r="W3" s="84"/>
      <c r="X3" s="41">
        <v>5</v>
      </c>
    </row>
    <row r="4" spans="1:32" s="7" customFormat="1" ht="61.5" customHeight="1" x14ac:dyDescent="0.45">
      <c r="A4" s="44" t="s">
        <v>22</v>
      </c>
      <c r="B4" s="45">
        <v>6.9</v>
      </c>
      <c r="C4" s="27">
        <v>17998.099999999999</v>
      </c>
      <c r="D4" s="46">
        <f t="shared" ref="D4:D9" si="0">C4/B4</f>
        <v>2608.420289855072</v>
      </c>
      <c r="E4" s="47">
        <f t="shared" ref="E4:E9" si="1">D4/D$10</f>
        <v>1.6590956588880439</v>
      </c>
      <c r="F4" s="48">
        <v>0.66900000000000004</v>
      </c>
      <c r="G4" s="47">
        <f t="shared" ref="G4:G9" si="2">E4/F4</f>
        <v>2.4799636156771956</v>
      </c>
      <c r="H4" s="48">
        <v>2.48</v>
      </c>
      <c r="I4" s="46"/>
      <c r="J4" s="48">
        <v>0.7</v>
      </c>
      <c r="K4" s="46">
        <f t="shared" ref="K4:K9" si="3">I4*J4</f>
        <v>0</v>
      </c>
      <c r="L4" s="49"/>
      <c r="M4" s="46">
        <f t="shared" ref="M4:M9" si="4">L4/B4</f>
        <v>0</v>
      </c>
      <c r="N4" s="50">
        <f t="shared" ref="N4:N9" si="5">G4+K4/(F4*B4*$M$10)</f>
        <v>2.4799636156771956</v>
      </c>
      <c r="O4" s="55">
        <v>27870.5</v>
      </c>
      <c r="P4" s="80">
        <v>3007.806</v>
      </c>
      <c r="Q4" s="51">
        <f t="shared" ref="Q4:Q9" si="6">(O4+P4+ K4)/B4</f>
        <v>4475.1168115942028</v>
      </c>
      <c r="R4" s="52" t="s">
        <v>6</v>
      </c>
      <c r="S4" s="53"/>
      <c r="T4" s="54"/>
      <c r="U4" s="53"/>
      <c r="V4" s="25">
        <v>0</v>
      </c>
      <c r="W4" s="85"/>
      <c r="X4" s="82">
        <f>O4+P4+V4+W4</f>
        <v>30878.306</v>
      </c>
    </row>
    <row r="5" spans="1:32" s="7" customFormat="1" ht="61.5" customHeight="1" x14ac:dyDescent="0.45">
      <c r="A5" s="44" t="s">
        <v>23</v>
      </c>
      <c r="B5" s="45">
        <v>1.5</v>
      </c>
      <c r="C5" s="27">
        <v>617.29999999999995</v>
      </c>
      <c r="D5" s="46">
        <f t="shared" si="0"/>
        <v>411.5333333333333</v>
      </c>
      <c r="E5" s="47">
        <f t="shared" si="1"/>
        <v>0.26175734388992794</v>
      </c>
      <c r="F5" s="48">
        <v>1.181</v>
      </c>
      <c r="G5" s="47">
        <f t="shared" si="2"/>
        <v>0.22164042666378317</v>
      </c>
      <c r="H5" s="48"/>
      <c r="I5" s="46">
        <f t="shared" ref="I5:I9" si="7">$D$10*($H$10-G5)*F5*B5</f>
        <v>1242.4783861212682</v>
      </c>
      <c r="J5" s="48">
        <v>0.7</v>
      </c>
      <c r="K5" s="46">
        <f t="shared" si="3"/>
        <v>869.73487028488762</v>
      </c>
      <c r="L5" s="46">
        <f>C5+K5+P5</f>
        <v>2115.1748702848877</v>
      </c>
      <c r="M5" s="46">
        <f t="shared" si="4"/>
        <v>1410.1165801899251</v>
      </c>
      <c r="N5" s="50">
        <f t="shared" si="5"/>
        <v>0.88432991366010583</v>
      </c>
      <c r="O5" s="55">
        <v>1028.7</v>
      </c>
      <c r="P5" s="80">
        <v>628.14</v>
      </c>
      <c r="Q5" s="51">
        <f t="shared" si="6"/>
        <v>1684.3832468565918</v>
      </c>
      <c r="R5" s="52" t="s">
        <v>6</v>
      </c>
      <c r="S5" s="53"/>
      <c r="T5" s="54"/>
      <c r="U5" s="53"/>
      <c r="V5" s="17">
        <v>2754.2</v>
      </c>
      <c r="W5" s="86">
        <v>246.5</v>
      </c>
      <c r="X5" s="82">
        <f t="shared" ref="X5:X10" si="8">O5+P5+V5+W5</f>
        <v>4657.54</v>
      </c>
      <c r="Y5" s="88"/>
      <c r="Z5" s="63"/>
      <c r="AA5" s="62"/>
      <c r="AF5" s="60"/>
    </row>
    <row r="6" spans="1:32" s="7" customFormat="1" ht="78.75" customHeight="1" x14ac:dyDescent="0.45">
      <c r="A6" s="44" t="s">
        <v>24</v>
      </c>
      <c r="B6" s="45">
        <v>1.2</v>
      </c>
      <c r="C6" s="27">
        <v>775.8</v>
      </c>
      <c r="D6" s="46">
        <f t="shared" si="0"/>
        <v>646.5</v>
      </c>
      <c r="E6" s="47">
        <f t="shared" si="1"/>
        <v>0.41120878703589442</v>
      </c>
      <c r="F6" s="48">
        <v>1.512</v>
      </c>
      <c r="G6" s="47">
        <f t="shared" si="2"/>
        <v>0.27196348348934818</v>
      </c>
      <c r="H6" s="48"/>
      <c r="I6" s="46">
        <f t="shared" si="7"/>
        <v>1129.0162030925364</v>
      </c>
      <c r="J6" s="48">
        <v>0.7</v>
      </c>
      <c r="K6" s="46">
        <f t="shared" si="3"/>
        <v>790.31134216477551</v>
      </c>
      <c r="L6" s="46">
        <f>C6+K6+P6</f>
        <v>2083.8253421647755</v>
      </c>
      <c r="M6" s="46">
        <f t="shared" si="4"/>
        <v>1736.5211184706463</v>
      </c>
      <c r="N6" s="50">
        <f t="shared" si="5"/>
        <v>0.85989877845516971</v>
      </c>
      <c r="O6" s="55">
        <v>944.8</v>
      </c>
      <c r="P6" s="80">
        <v>517.71400000000006</v>
      </c>
      <c r="Q6" s="51">
        <f t="shared" si="6"/>
        <v>1877.3544518039796</v>
      </c>
      <c r="R6" s="52" t="s">
        <v>6</v>
      </c>
      <c r="S6" s="53"/>
      <c r="T6" s="54"/>
      <c r="U6" s="53"/>
      <c r="V6" s="17">
        <v>1832</v>
      </c>
      <c r="W6" s="86">
        <v>230</v>
      </c>
      <c r="X6" s="82">
        <f t="shared" si="8"/>
        <v>3524.5140000000001</v>
      </c>
      <c r="Y6" s="88"/>
      <c r="Z6" s="63"/>
      <c r="AA6" s="62"/>
      <c r="AF6" s="60"/>
    </row>
    <row r="7" spans="1:32" s="7" customFormat="1" ht="69.75" customHeight="1" x14ac:dyDescent="0.45">
      <c r="A7" s="44" t="s">
        <v>25</v>
      </c>
      <c r="B7" s="45">
        <v>1</v>
      </c>
      <c r="C7" s="27">
        <v>542</v>
      </c>
      <c r="D7" s="46">
        <f t="shared" si="0"/>
        <v>542</v>
      </c>
      <c r="E7" s="47">
        <f t="shared" si="1"/>
        <v>0.34474116407340261</v>
      </c>
      <c r="F7" s="48">
        <v>1.401</v>
      </c>
      <c r="G7" s="47">
        <f t="shared" si="2"/>
        <v>0.24606792581970208</v>
      </c>
      <c r="H7" s="48"/>
      <c r="I7" s="46">
        <f t="shared" si="7"/>
        <v>928.81542136940266</v>
      </c>
      <c r="J7" s="48">
        <v>0.7</v>
      </c>
      <c r="K7" s="46">
        <f t="shared" si="3"/>
        <v>650.17079495858184</v>
      </c>
      <c r="L7" s="46">
        <f>C7+K7+P7</f>
        <v>1628.1397949585819</v>
      </c>
      <c r="M7" s="46">
        <f t="shared" si="4"/>
        <v>1628.1397949585819</v>
      </c>
      <c r="N7" s="50">
        <f t="shared" si="5"/>
        <v>0.87247070692182349</v>
      </c>
      <c r="O7" s="55">
        <v>755.4</v>
      </c>
      <c r="P7" s="80">
        <v>435.96899999999999</v>
      </c>
      <c r="Q7" s="51">
        <f t="shared" si="6"/>
        <v>1841.5397949585818</v>
      </c>
      <c r="R7" s="52" t="s">
        <v>6</v>
      </c>
      <c r="S7" s="53"/>
      <c r="T7" s="54"/>
      <c r="U7" s="53"/>
      <c r="V7" s="17">
        <v>2119.1</v>
      </c>
      <c r="W7" s="86">
        <v>380</v>
      </c>
      <c r="X7" s="82">
        <f t="shared" si="8"/>
        <v>3690.4690000000001</v>
      </c>
      <c r="Y7" s="88"/>
      <c r="Z7" s="63"/>
      <c r="AA7" s="62"/>
      <c r="AF7" s="60"/>
    </row>
    <row r="8" spans="1:32" s="7" customFormat="1" ht="69" customHeight="1" x14ac:dyDescent="0.45">
      <c r="A8" s="44" t="s">
        <v>26</v>
      </c>
      <c r="B8" s="45">
        <v>1.1000000000000001</v>
      </c>
      <c r="C8" s="27">
        <v>494.6</v>
      </c>
      <c r="D8" s="46">
        <f t="shared" si="0"/>
        <v>449.63636363636363</v>
      </c>
      <c r="E8" s="47">
        <f t="shared" si="1"/>
        <v>0.28599292142016924</v>
      </c>
      <c r="F8" s="48">
        <v>1.494</v>
      </c>
      <c r="G8" s="47">
        <f t="shared" si="2"/>
        <v>0.1914276582464319</v>
      </c>
      <c r="H8" s="48">
        <v>0.191</v>
      </c>
      <c r="I8" s="46">
        <f t="shared" si="7"/>
        <v>1230.694834745522</v>
      </c>
      <c r="J8" s="48">
        <v>0.7</v>
      </c>
      <c r="K8" s="46">
        <f t="shared" si="3"/>
        <v>861.48638432186533</v>
      </c>
      <c r="L8" s="46">
        <f>C8+K8+P8</f>
        <v>1825.0403843218653</v>
      </c>
      <c r="M8" s="46">
        <f t="shared" si="4"/>
        <v>1659.1276221107864</v>
      </c>
      <c r="N8" s="50">
        <f t="shared" si="5"/>
        <v>0.89899778712968315</v>
      </c>
      <c r="O8" s="55">
        <v>830.3</v>
      </c>
      <c r="P8" s="80">
        <v>468.95400000000001</v>
      </c>
      <c r="Q8" s="51">
        <f t="shared" si="6"/>
        <v>1964.3094402926047</v>
      </c>
      <c r="R8" s="52" t="s">
        <v>6</v>
      </c>
      <c r="S8" s="53"/>
      <c r="T8" s="54"/>
      <c r="U8" s="53"/>
      <c r="V8" s="17">
        <v>2486.4</v>
      </c>
      <c r="W8" s="86">
        <v>300</v>
      </c>
      <c r="X8" s="82">
        <f t="shared" si="8"/>
        <v>4085.654</v>
      </c>
      <c r="Y8" s="88"/>
      <c r="Z8" s="63"/>
      <c r="AA8" s="62"/>
      <c r="AF8" s="60"/>
    </row>
    <row r="9" spans="1:32" s="7" customFormat="1" ht="63" customHeight="1" x14ac:dyDescent="0.45">
      <c r="A9" s="44" t="s">
        <v>27</v>
      </c>
      <c r="B9" s="45">
        <v>1.7</v>
      </c>
      <c r="C9" s="27">
        <v>639.6</v>
      </c>
      <c r="D9" s="46">
        <f t="shared" si="0"/>
        <v>376.23529411764707</v>
      </c>
      <c r="E9" s="47">
        <f t="shared" si="1"/>
        <v>0.23930589162290894</v>
      </c>
      <c r="F9" s="48">
        <v>1.101</v>
      </c>
      <c r="G9" s="47">
        <f t="shared" si="2"/>
        <v>0.21735321673288732</v>
      </c>
      <c r="H9" s="48"/>
      <c r="I9" s="46">
        <f t="shared" si="7"/>
        <v>1325.3716089772381</v>
      </c>
      <c r="J9" s="48">
        <v>0.7</v>
      </c>
      <c r="K9" s="46">
        <f t="shared" si="3"/>
        <v>927.76012628406659</v>
      </c>
      <c r="L9" s="46">
        <f>C9+K9+P9</f>
        <v>2275.3321262840664</v>
      </c>
      <c r="M9" s="46">
        <f t="shared" si="4"/>
        <v>1338.430662520039</v>
      </c>
      <c r="N9" s="50">
        <f t="shared" si="5"/>
        <v>0.88641129368908</v>
      </c>
      <c r="O9" s="55">
        <v>1178.5</v>
      </c>
      <c r="P9" s="80">
        <v>707.97199999999998</v>
      </c>
      <c r="Q9" s="51">
        <f t="shared" si="6"/>
        <v>1655.430662520039</v>
      </c>
      <c r="R9" s="52" t="s">
        <v>6</v>
      </c>
      <c r="S9" s="53"/>
      <c r="T9" s="54"/>
      <c r="U9" s="53"/>
      <c r="V9" s="17">
        <v>2808.3</v>
      </c>
      <c r="W9" s="86">
        <v>500</v>
      </c>
      <c r="X9" s="82">
        <f t="shared" si="8"/>
        <v>5194.7719999999999</v>
      </c>
      <c r="Y9" s="88"/>
      <c r="Z9" s="63"/>
      <c r="AA9" s="62"/>
      <c r="AF9" s="60"/>
    </row>
    <row r="10" spans="1:32" s="21" customFormat="1" ht="51.75" customHeight="1" x14ac:dyDescent="0.4">
      <c r="A10" s="70" t="s">
        <v>20</v>
      </c>
      <c r="B10" s="71">
        <f>SUM(B4:B9)</f>
        <v>13.399999999999999</v>
      </c>
      <c r="C10" s="72">
        <f>SUM(C4:C9)</f>
        <v>21067.399999999994</v>
      </c>
      <c r="D10" s="72">
        <f t="shared" ref="D10" si="9">C10/B10</f>
        <v>1572.1940298507459</v>
      </c>
      <c r="E10" s="73">
        <f>D10/D10</f>
        <v>1</v>
      </c>
      <c r="F10" s="73">
        <v>1.00021659538301</v>
      </c>
      <c r="G10" s="73">
        <f t="shared" ref="G10" si="10">E10/F10</f>
        <v>0.99978345152039083</v>
      </c>
      <c r="H10" s="73">
        <f>SUM(H4:H9)/4</f>
        <v>0.66774999999999995</v>
      </c>
      <c r="I10" s="72">
        <f>SUM(I4:I9)</f>
        <v>5856.3764543059669</v>
      </c>
      <c r="J10" s="73"/>
      <c r="K10" s="72">
        <f>SUM(K4:K9)</f>
        <v>4099.4635180141768</v>
      </c>
      <c r="L10" s="72">
        <f>SUM(L4:L9)</f>
        <v>9927.5125180141767</v>
      </c>
      <c r="M10" s="72">
        <f t="shared" ref="M10" si="11">L10/B10</f>
        <v>740.85914313538638</v>
      </c>
      <c r="N10" s="74">
        <v>1</v>
      </c>
      <c r="O10" s="75">
        <f>SUM(O4:O9)</f>
        <v>32608.2</v>
      </c>
      <c r="P10" s="73">
        <f>SUM(P4:P9)</f>
        <v>5766.5549999999994</v>
      </c>
      <c r="Q10" s="76">
        <f>(O10+P10)/B10</f>
        <v>2863.7876865671642</v>
      </c>
      <c r="R10" s="77">
        <v>0.82</v>
      </c>
      <c r="S10" s="72"/>
      <c r="T10" s="78"/>
      <c r="U10" s="72"/>
      <c r="V10" s="75">
        <f>SUM(V4:V9)</f>
        <v>12000</v>
      </c>
      <c r="W10" s="87">
        <f>SUM(W5:W9)</f>
        <v>1656.5</v>
      </c>
      <c r="X10" s="82">
        <f t="shared" si="8"/>
        <v>52031.254999999997</v>
      </c>
      <c r="Z10" s="63"/>
      <c r="AA10" s="62"/>
      <c r="AF10" s="61"/>
    </row>
    <row r="11" spans="1:32" s="9" customFormat="1" ht="26.25" x14ac:dyDescent="0.25">
      <c r="S11" s="10"/>
      <c r="T11" s="10"/>
    </row>
    <row r="12" spans="1:32" s="9" customFormat="1" ht="26.25" x14ac:dyDescent="0.25">
      <c r="G12" s="10"/>
      <c r="K12" s="10"/>
    </row>
    <row r="13" spans="1:32" s="11" customFormat="1" ht="26.25" x14ac:dyDescent="0.4">
      <c r="G13" s="12"/>
      <c r="H13" s="12"/>
      <c r="N13" s="12"/>
      <c r="O13" s="12"/>
      <c r="P13" s="12"/>
      <c r="Q13" s="12"/>
      <c r="R13" s="12"/>
      <c r="V13" s="26"/>
      <c r="W13" s="26"/>
      <c r="X13" s="12"/>
    </row>
    <row r="14" spans="1:32" s="11" customFormat="1" ht="26.25" x14ac:dyDescent="0.4"/>
  </sheetData>
  <mergeCells count="1">
    <mergeCell ref="A1:X1"/>
  </mergeCells>
  <pageMargins left="0" right="0" top="0" bottom="0" header="0.31496062992125984" footer="0.31496062992125984"/>
  <pageSetup paperSize="9" scale="70" fitToWidth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вариант</vt:lpstr>
      <vt:lpstr>Доходы всего</vt:lpstr>
      <vt:lpstr>'1 вариант'!Заголовки_для_печати</vt:lpstr>
      <vt:lpstr>'Доходы всего'!Заголовки_для_печати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Подсевалова Светлана Ивановна</cp:lastModifiedBy>
  <cp:lastPrinted>2023-11-01T11:08:15Z</cp:lastPrinted>
  <dcterms:created xsi:type="dcterms:W3CDTF">2011-06-06T14:53:40Z</dcterms:created>
  <dcterms:modified xsi:type="dcterms:W3CDTF">2024-04-03T07:58:58Z</dcterms:modified>
</cp:coreProperties>
</file>